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040" tabRatio="770" activeTab="6"/>
  </bookViews>
  <sheets>
    <sheet name="INÍCIO" sheetId="1" r:id="rId1"/>
    <sheet name="Orçamento Referencial" sheetId="4" r:id="rId2"/>
    <sheet name="BDI" sheetId="7" r:id="rId3"/>
    <sheet name="Cronograma" sheetId="6" r:id="rId4"/>
    <sheet name="Memória de Cálculo" sheetId="3" r:id="rId5"/>
    <sheet name="ART" sheetId="9" r:id="rId6"/>
    <sheet name="Memorial Descritivo" sheetId="5" r:id="rId7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7" l="1"/>
  <c r="C19" i="7" s="1"/>
  <c r="E27" i="6"/>
  <c r="C25" i="6"/>
  <c r="C24" i="6"/>
  <c r="C26" i="6"/>
  <c r="I67" i="4"/>
  <c r="I68" i="4"/>
  <c r="I69" i="4"/>
  <c r="I70" i="4"/>
  <c r="I71" i="4"/>
  <c r="G67" i="4"/>
  <c r="G68" i="4"/>
  <c r="G69" i="4"/>
  <c r="G70" i="4"/>
  <c r="G71" i="4"/>
  <c r="I66" i="4"/>
  <c r="G66" i="4"/>
  <c r="I58" i="4"/>
  <c r="I59" i="4"/>
  <c r="I60" i="4"/>
  <c r="I61" i="4"/>
  <c r="I62" i="4"/>
  <c r="I63" i="4"/>
  <c r="I57" i="4"/>
  <c r="G58" i="4"/>
  <c r="G59" i="4"/>
  <c r="G60" i="4"/>
  <c r="G61" i="4"/>
  <c r="G62" i="4"/>
  <c r="G63" i="4"/>
  <c r="G57" i="4"/>
  <c r="I47" i="4"/>
  <c r="I48" i="4"/>
  <c r="I49" i="4"/>
  <c r="I50" i="4"/>
  <c r="I51" i="4"/>
  <c r="I52" i="4"/>
  <c r="I53" i="4"/>
  <c r="I54" i="4"/>
  <c r="I55" i="4"/>
  <c r="I46" i="4"/>
  <c r="G47" i="4"/>
  <c r="G48" i="4"/>
  <c r="G49" i="4"/>
  <c r="G50" i="4"/>
  <c r="G51" i="4"/>
  <c r="G52" i="4"/>
  <c r="G53" i="4"/>
  <c r="G54" i="4"/>
  <c r="G55" i="4"/>
  <c r="G46" i="4"/>
  <c r="I40" i="4"/>
  <c r="I41" i="4"/>
  <c r="I42" i="4"/>
  <c r="I43" i="4"/>
  <c r="I44" i="4"/>
  <c r="G40" i="4"/>
  <c r="G41" i="4"/>
  <c r="G42" i="4"/>
  <c r="G43" i="4"/>
  <c r="G44" i="4"/>
  <c r="I39" i="4"/>
  <c r="G39" i="4"/>
  <c r="I35" i="4"/>
  <c r="I36" i="4"/>
  <c r="I37" i="4"/>
  <c r="G35" i="4"/>
  <c r="G36" i="4"/>
  <c r="G37" i="4"/>
  <c r="I34" i="4"/>
  <c r="G34" i="4"/>
  <c r="I27" i="4"/>
  <c r="I28" i="4"/>
  <c r="I29" i="4"/>
  <c r="I30" i="4"/>
  <c r="I31" i="4"/>
  <c r="I32" i="4"/>
  <c r="G27" i="4"/>
  <c r="G28" i="4"/>
  <c r="G29" i="4"/>
  <c r="G30" i="4"/>
  <c r="G31" i="4"/>
  <c r="G32" i="4"/>
  <c r="I26" i="4"/>
  <c r="G26" i="4"/>
  <c r="I14" i="4"/>
  <c r="I15" i="4"/>
  <c r="I16" i="4"/>
  <c r="I17" i="4"/>
  <c r="I18" i="4"/>
  <c r="I19" i="4"/>
  <c r="I20" i="4"/>
  <c r="I21" i="4"/>
  <c r="I22" i="4"/>
  <c r="I13" i="4"/>
  <c r="G14" i="4"/>
  <c r="G15" i="4"/>
  <c r="G16" i="4"/>
  <c r="G17" i="4"/>
  <c r="G18" i="4"/>
  <c r="G19" i="4"/>
  <c r="G20" i="4"/>
  <c r="G21" i="4"/>
  <c r="G22" i="4"/>
  <c r="G13" i="4"/>
  <c r="I11" i="4"/>
  <c r="G11" i="4"/>
  <c r="AB68" i="3"/>
  <c r="Z68" i="3"/>
  <c r="AB61" i="3"/>
  <c r="Z61" i="3"/>
  <c r="AB21" i="3"/>
  <c r="Z21" i="3"/>
  <c r="AB53" i="3"/>
  <c r="Z53" i="3"/>
  <c r="AB42" i="3"/>
  <c r="Z42" i="3"/>
  <c r="AB35" i="3"/>
  <c r="Z35" i="3"/>
  <c r="AB30" i="3"/>
  <c r="Z30" i="3"/>
  <c r="AB22" i="3"/>
  <c r="Z22" i="3"/>
  <c r="AB7" i="3"/>
  <c r="Z7" i="3"/>
  <c r="AB10" i="3"/>
  <c r="Z10" i="3"/>
  <c r="AB8" i="3"/>
  <c r="Z8" i="3"/>
  <c r="W58" i="3"/>
  <c r="Z58" i="3" s="1"/>
  <c r="W62" i="3"/>
  <c r="AB62" i="3" s="1"/>
  <c r="W56" i="3"/>
  <c r="AB56" i="3" s="1"/>
  <c r="W57" i="3"/>
  <c r="Z57" i="3" s="1"/>
  <c r="W59" i="3"/>
  <c r="AB59" i="3" s="1"/>
  <c r="W60" i="3"/>
  <c r="AB60" i="3" s="1"/>
  <c r="W54" i="3"/>
  <c r="AB54" i="3" s="1"/>
  <c r="W55" i="3"/>
  <c r="AB55" i="3" s="1"/>
  <c r="W28" i="3"/>
  <c r="Z28" i="3" s="1"/>
  <c r="W39" i="3"/>
  <c r="AB39" i="3" s="1"/>
  <c r="M52" i="3"/>
  <c r="F27" i="6"/>
  <c r="W67" i="3"/>
  <c r="AB67" i="3" s="1"/>
  <c r="S66" i="3"/>
  <c r="W66" i="3" s="1"/>
  <c r="S65" i="3"/>
  <c r="W65" i="3" s="1"/>
  <c r="Z65" i="3" s="1"/>
  <c r="W64" i="3"/>
  <c r="AB64" i="3" s="1"/>
  <c r="R52" i="3"/>
  <c r="P52" i="3"/>
  <c r="O52" i="3"/>
  <c r="L52" i="3"/>
  <c r="K52" i="3"/>
  <c r="J52" i="3"/>
  <c r="I52" i="3"/>
  <c r="H52" i="3"/>
  <c r="G52" i="3"/>
  <c r="F52" i="3"/>
  <c r="E52" i="3"/>
  <c r="D51" i="3"/>
  <c r="W51" i="3" s="1"/>
  <c r="Z51" i="3" s="1"/>
  <c r="E49" i="3"/>
  <c r="D49" i="3"/>
  <c r="F48" i="3"/>
  <c r="W48" i="3" s="1"/>
  <c r="AB48" i="3" s="1"/>
  <c r="W47" i="3"/>
  <c r="AB47" i="3" s="1"/>
  <c r="R46" i="3"/>
  <c r="P46" i="3"/>
  <c r="O46" i="3"/>
  <c r="M46" i="3"/>
  <c r="L46" i="3"/>
  <c r="K46" i="3"/>
  <c r="J46" i="3"/>
  <c r="I46" i="3"/>
  <c r="H46" i="3"/>
  <c r="G46" i="3"/>
  <c r="F45" i="3"/>
  <c r="E45" i="3"/>
  <c r="Q44" i="3"/>
  <c r="O44" i="3"/>
  <c r="M44" i="3"/>
  <c r="K44" i="3"/>
  <c r="I44" i="3"/>
  <c r="G44" i="3"/>
  <c r="F44" i="3"/>
  <c r="E44" i="3"/>
  <c r="R43" i="3"/>
  <c r="Q43" i="3"/>
  <c r="O43" i="3"/>
  <c r="M43" i="3"/>
  <c r="K43" i="3"/>
  <c r="I43" i="3"/>
  <c r="G43" i="3"/>
  <c r="F43" i="3"/>
  <c r="E43" i="3"/>
  <c r="F41" i="3"/>
  <c r="F36" i="3" s="1"/>
  <c r="R40" i="3"/>
  <c r="Q40" i="3"/>
  <c r="O40" i="3"/>
  <c r="M40" i="3"/>
  <c r="L40" i="3"/>
  <c r="K40" i="3"/>
  <c r="G40" i="3"/>
  <c r="F40" i="3"/>
  <c r="E40" i="3"/>
  <c r="R38" i="3"/>
  <c r="Q38" i="3"/>
  <c r="P38" i="3"/>
  <c r="O38" i="3"/>
  <c r="N38" i="3"/>
  <c r="M38" i="3"/>
  <c r="L38" i="3"/>
  <c r="K38" i="3"/>
  <c r="J38" i="3"/>
  <c r="I38" i="3"/>
  <c r="H38" i="3"/>
  <c r="G38" i="3"/>
  <c r="E38" i="3"/>
  <c r="D38" i="3"/>
  <c r="R37" i="3"/>
  <c r="Q37" i="3"/>
  <c r="P37" i="3"/>
  <c r="O37" i="3"/>
  <c r="M37" i="3"/>
  <c r="K37" i="3"/>
  <c r="I37" i="3"/>
  <c r="H37" i="3"/>
  <c r="G37" i="3"/>
  <c r="F37" i="3"/>
  <c r="E37" i="3"/>
  <c r="D37" i="3"/>
  <c r="R36" i="3"/>
  <c r="Q36" i="3"/>
  <c r="P36" i="3"/>
  <c r="O36" i="3"/>
  <c r="N36" i="3"/>
  <c r="M36" i="3"/>
  <c r="L36" i="3"/>
  <c r="K36" i="3"/>
  <c r="J36" i="3"/>
  <c r="I36" i="3"/>
  <c r="H36" i="3"/>
  <c r="G36" i="3"/>
  <c r="E36" i="3"/>
  <c r="D36" i="3"/>
  <c r="W34" i="3"/>
  <c r="AB34" i="3" s="1"/>
  <c r="V33" i="3"/>
  <c r="S33" i="3"/>
  <c r="V32" i="3"/>
  <c r="U32" i="3"/>
  <c r="S32" i="3"/>
  <c r="V31" i="3"/>
  <c r="U31" i="3"/>
  <c r="S31" i="3"/>
  <c r="Q29" i="3"/>
  <c r="N29" i="3"/>
  <c r="J29" i="3"/>
  <c r="H29" i="3"/>
  <c r="G29" i="3"/>
  <c r="F29" i="3"/>
  <c r="D27" i="3"/>
  <c r="W27" i="3" s="1"/>
  <c r="AB27" i="3" s="1"/>
  <c r="Q26" i="3"/>
  <c r="K26" i="3"/>
  <c r="H26" i="3"/>
  <c r="G26" i="3"/>
  <c r="F26" i="3"/>
  <c r="E26" i="3"/>
  <c r="D26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AB20" i="3"/>
  <c r="Z20" i="3"/>
  <c r="T19" i="3"/>
  <c r="W19" i="3" s="1"/>
  <c r="T18" i="3"/>
  <c r="W18" i="3" s="1"/>
  <c r="S17" i="3"/>
  <c r="W17" i="3" s="1"/>
  <c r="T16" i="3"/>
  <c r="S16" i="3"/>
  <c r="E15" i="3"/>
  <c r="W15" i="3" s="1"/>
  <c r="AB15" i="3" s="1"/>
  <c r="W14" i="3"/>
  <c r="Z14" i="3" s="1"/>
  <c r="R13" i="3"/>
  <c r="W13" i="3" s="1"/>
  <c r="R12" i="3"/>
  <c r="P12" i="3"/>
  <c r="O12" i="3"/>
  <c r="M12" i="3"/>
  <c r="L12" i="3"/>
  <c r="K12" i="3"/>
  <c r="J12" i="3"/>
  <c r="I12" i="3"/>
  <c r="H12" i="3"/>
  <c r="G12" i="3"/>
  <c r="F12" i="3"/>
  <c r="Q11" i="3"/>
  <c r="K11" i="3"/>
  <c r="H11" i="3"/>
  <c r="G11" i="3"/>
  <c r="F11" i="3"/>
  <c r="F9" i="3"/>
  <c r="W9" i="3" s="1"/>
  <c r="G64" i="4" l="1"/>
  <c r="G72" i="4"/>
  <c r="I64" i="4"/>
  <c r="I72" i="4"/>
  <c r="I23" i="4"/>
  <c r="G23" i="4"/>
  <c r="AB58" i="3"/>
  <c r="Z59" i="3"/>
  <c r="Z54" i="3"/>
  <c r="Z60" i="3"/>
  <c r="W63" i="3"/>
  <c r="Z63" i="3" s="1"/>
  <c r="Z55" i="3"/>
  <c r="Z56" i="3"/>
  <c r="AB57" i="3"/>
  <c r="AB28" i="3"/>
  <c r="W45" i="3"/>
  <c r="AB45" i="3" s="1"/>
  <c r="Z39" i="3"/>
  <c r="W29" i="3"/>
  <c r="AB29" i="3" s="1"/>
  <c r="W41" i="3"/>
  <c r="AB41" i="3" s="1"/>
  <c r="W25" i="3"/>
  <c r="Z25" i="3" s="1"/>
  <c r="W43" i="3"/>
  <c r="AB43" i="3" s="1"/>
  <c r="W33" i="3"/>
  <c r="AB33" i="3" s="1"/>
  <c r="W32" i="3"/>
  <c r="AB32" i="3" s="1"/>
  <c r="W12" i="3"/>
  <c r="Z12" i="3" s="1"/>
  <c r="W49" i="3"/>
  <c r="Z49" i="3" s="1"/>
  <c r="Z67" i="3"/>
  <c r="W44" i="3"/>
  <c r="Z44" i="3" s="1"/>
  <c r="W26" i="3"/>
  <c r="AB26" i="3" s="1"/>
  <c r="W31" i="3"/>
  <c r="AB31" i="3" s="1"/>
  <c r="W23" i="3"/>
  <c r="AB23" i="3" s="1"/>
  <c r="W36" i="3"/>
  <c r="AB36" i="3" s="1"/>
  <c r="W37" i="3"/>
  <c r="AB37" i="3" s="1"/>
  <c r="W46" i="3"/>
  <c r="Z46" i="3" s="1"/>
  <c r="W16" i="3"/>
  <c r="AB16" i="3" s="1"/>
  <c r="W11" i="3"/>
  <c r="Z11" i="3" s="1"/>
  <c r="W24" i="3"/>
  <c r="Z24" i="3" s="1"/>
  <c r="W40" i="3"/>
  <c r="Z40" i="3" s="1"/>
  <c r="W52" i="3"/>
  <c r="Z52" i="3" s="1"/>
  <c r="AB9" i="3"/>
  <c r="Z9" i="3"/>
  <c r="AB18" i="3"/>
  <c r="Z18" i="3"/>
  <c r="Z19" i="3"/>
  <c r="AB19" i="3"/>
  <c r="AB66" i="3"/>
  <c r="Z66" i="3"/>
  <c r="Z13" i="3"/>
  <c r="AB13" i="3"/>
  <c r="Z17" i="3"/>
  <c r="AB17" i="3"/>
  <c r="AB14" i="3"/>
  <c r="Z34" i="3"/>
  <c r="Z15" i="3"/>
  <c r="Z41" i="3"/>
  <c r="F38" i="3"/>
  <c r="W38" i="3" s="1"/>
  <c r="AB65" i="3"/>
  <c r="Z47" i="3"/>
  <c r="AB51" i="3"/>
  <c r="Z64" i="3"/>
  <c r="Z62" i="3"/>
  <c r="Z27" i="3"/>
  <c r="Z48" i="3"/>
  <c r="I73" i="4" l="1"/>
  <c r="I74" i="4" s="1"/>
  <c r="G73" i="4"/>
  <c r="G74" i="4" s="1"/>
  <c r="AB63" i="3"/>
  <c r="Z45" i="3"/>
  <c r="Z26" i="3"/>
  <c r="Z33" i="3"/>
  <c r="Z43" i="3"/>
  <c r="AB24" i="3"/>
  <c r="AB11" i="3"/>
  <c r="AB44" i="3"/>
  <c r="AB25" i="3"/>
  <c r="Z29" i="3"/>
  <c r="AB49" i="3"/>
  <c r="Z37" i="3"/>
  <c r="W50" i="3"/>
  <c r="AB50" i="3" s="1"/>
  <c r="AB40" i="3"/>
  <c r="AB52" i="3"/>
  <c r="AB12" i="3"/>
  <c r="Z23" i="3"/>
  <c r="Z32" i="3"/>
  <c r="Z36" i="3"/>
  <c r="Z31" i="3"/>
  <c r="Z16" i="3"/>
  <c r="AB46" i="3"/>
  <c r="AB38" i="3"/>
  <c r="Z38" i="3"/>
  <c r="Z50" i="3" l="1"/>
</calcChain>
</file>

<file path=xl/sharedStrings.xml><?xml version="1.0" encoding="utf-8"?>
<sst xmlns="http://schemas.openxmlformats.org/spreadsheetml/2006/main" count="660" uniqueCount="341">
  <si>
    <t>OBRA: REFORMA PREDIAL DA NOVA SEDE DO CONSELHO REGIONAL DE FARMÁRIA DO RIO DE JANEIRO</t>
  </si>
  <si>
    <t>ITEM</t>
  </si>
  <si>
    <t>CÓDIGO</t>
  </si>
  <si>
    <t>DESCRIÇÃO</t>
  </si>
  <si>
    <t>UNIDADE</t>
  </si>
  <si>
    <t>QUANT.</t>
  </si>
  <si>
    <t>BDI:</t>
  </si>
  <si>
    <t>SUBTOTAL ITEM 1</t>
  </si>
  <si>
    <t>2.1</t>
  </si>
  <si>
    <t>3.1</t>
  </si>
  <si>
    <t>3.2</t>
  </si>
  <si>
    <t>3.3</t>
  </si>
  <si>
    <t>3.4</t>
  </si>
  <si>
    <t>2.2</t>
  </si>
  <si>
    <t>2.3</t>
  </si>
  <si>
    <t>2.4</t>
  </si>
  <si>
    <t>2.5</t>
  </si>
  <si>
    <t>SUBTOTAL ITEM 2</t>
  </si>
  <si>
    <t>SUBTOTAL ITEM 3</t>
  </si>
  <si>
    <t>REVESTIMENTO E PINTURA</t>
  </si>
  <si>
    <t>PAREDES INTERNAS</t>
  </si>
  <si>
    <t>PAREDES EXTERNAS</t>
  </si>
  <si>
    <t>TETO</t>
  </si>
  <si>
    <t>PISO</t>
  </si>
  <si>
    <t>m²</t>
  </si>
  <si>
    <t>SERVIÇO</t>
  </si>
  <si>
    <r>
      <t>ART Número: </t>
    </r>
    <r>
      <rPr>
        <b/>
        <sz val="26"/>
        <color rgb="FF000000"/>
        <rFont val="Source Sans Pro"/>
        <family val="2"/>
      </rPr>
      <t>2020240289017</t>
    </r>
  </si>
  <si>
    <t>PREÇO UNIT - DESONERADO (R$)</t>
  </si>
  <si>
    <t>PREÇO UNIT S/ DESONERAÇÃO (R$)</t>
  </si>
  <si>
    <t>VALOR TOTAL DESONERADO (R$)</t>
  </si>
  <si>
    <t>TOTAL GERAL C/ BDI</t>
  </si>
  <si>
    <t>TOTAL GERAL</t>
  </si>
  <si>
    <t>VALOR TOTAL S/ DESONERAÇÃO (R$)</t>
  </si>
  <si>
    <t>DESONERADO</t>
  </si>
  <si>
    <t>S/ DESONERAÇÃO</t>
  </si>
  <si>
    <t>SUBSOLO</t>
  </si>
  <si>
    <t>TER -LC</t>
  </si>
  <si>
    <t>TER- TR</t>
  </si>
  <si>
    <t>1º LC</t>
  </si>
  <si>
    <t>1º TR</t>
  </si>
  <si>
    <t>2º LC</t>
  </si>
  <si>
    <t>2º TR</t>
  </si>
  <si>
    <t>3º LC</t>
  </si>
  <si>
    <t>3º TR</t>
  </si>
  <si>
    <t>4º LC</t>
  </si>
  <si>
    <t>4º TR</t>
  </si>
  <si>
    <t>5º LC</t>
  </si>
  <si>
    <t>5º TR</t>
  </si>
  <si>
    <t>6º LC</t>
  </si>
  <si>
    <t>6º TR</t>
  </si>
  <si>
    <t>COB-LC</t>
  </si>
  <si>
    <t>COB-TR</t>
  </si>
  <si>
    <t>LESTE</t>
  </si>
  <si>
    <t>OESTE</t>
  </si>
  <si>
    <t>TOTAL</t>
  </si>
  <si>
    <t>UNIT</t>
  </si>
  <si>
    <t>SERVIÇOS PRELIMINARES</t>
  </si>
  <si>
    <t>PLACAS</t>
  </si>
  <si>
    <t>103689</t>
  </si>
  <si>
    <t>FORNECIMENTO E INSTALAÇÃO DE PLACA DE OBRA COM CHAPA GALVANIZADA E ESTRUTURA DE MADEIRA. AF_03/2022_PS</t>
  </si>
  <si>
    <t xml:space="preserve"> </t>
  </si>
  <si>
    <t>470,99</t>
  </si>
  <si>
    <t>476,54</t>
  </si>
  <si>
    <t>REMOÇÕES / DEMOLIÇÕES</t>
  </si>
  <si>
    <t>104791</t>
  </si>
  <si>
    <t>DEMOLIÇÃO DE ARGAMASSAS, DE FORMA DE FORMA MECANIZADA COM MARTELETE, SEM REAPROVEITAMENTO. AF_09/2023</t>
  </si>
  <si>
    <t>8,23</t>
  </si>
  <si>
    <t>9,15</t>
  </si>
  <si>
    <t>COMPOSIÇÃO</t>
  </si>
  <si>
    <t>REMOÇÃO DE PISO LAMINADO</t>
  </si>
  <si>
    <t>97640</t>
  </si>
  <si>
    <t>REMOÇÃO DE FORROS DE DRYWALL, PVC E FIBROMINERAL, DE FORMA MANUAL, SEM REAPROVEITAMENTO. AF_09/2023</t>
  </si>
  <si>
    <t>2,56</t>
  </si>
  <si>
    <t>2,85</t>
  </si>
  <si>
    <t>97634</t>
  </si>
  <si>
    <t>DEMOLIÇÃO DE REVESTIMENTO CERÂMICO, DE FORMA MECANIZADA COM MARTELETE, SEM REAPROVEITAMENTO. AF_09/2023</t>
  </si>
  <si>
    <t>9,17</t>
  </si>
  <si>
    <t>10,21</t>
  </si>
  <si>
    <t>97625</t>
  </si>
  <si>
    <t>DEMOLIÇÃO DE ALVENARIA PARA QUALQUER TIPO DE BLOCO, DE FORMA MECANIZADA, SEM REAPROVEITAMENTO. AF_09/2023</t>
  </si>
  <si>
    <t>m³</t>
  </si>
  <si>
    <t>66,12</t>
  </si>
  <si>
    <t>67,66</t>
  </si>
  <si>
    <t>97647</t>
  </si>
  <si>
    <t>REMOÇÃO DE TELHAS DE FIBROCIMENTO METÁLICA E CERÂMICA, DE FORMA MANUAL, SEM REAPROVEITAMENTO. AF_09/2023</t>
  </si>
  <si>
    <t>4,47</t>
  </si>
  <si>
    <t>4,96</t>
  </si>
  <si>
    <t>97650</t>
  </si>
  <si>
    <t>REMOÇÃO DE TRAMA DE MADEIRA PARA COBERTURA, DE FORMA MANUAL, SEM REAPROVEITAMENTO. AF_09/2023</t>
  </si>
  <si>
    <t>9,65</t>
  </si>
  <si>
    <t>10,70</t>
  </si>
  <si>
    <t>97655</t>
  </si>
  <si>
    <t>REMOÇÃO DE TRAMA METÁLICA PARA COBERTURA, DE FORMA MANUAL, SEM REAPROVEITAMENTO. AF_09/2023</t>
  </si>
  <si>
    <t>40,33</t>
  </si>
  <si>
    <t>42,74</t>
  </si>
  <si>
    <t>CPOS 407096</t>
  </si>
  <si>
    <t>RETIRADA DE MANTA ASFALTICA</t>
  </si>
  <si>
    <t>REMOÇÃO DE ENTULHO DE OBRA EM CAÇAMBA ESTACIONÁRIA</t>
  </si>
  <si>
    <t>un.</t>
  </si>
  <si>
    <t>88489</t>
  </si>
  <si>
    <t>PINTURA LÁTEX ACRÍLICA PREMIUM, APLICAÇÃO MANUAL EM PAREDES, DUAS DEMÃOS. AF_04/2023</t>
  </si>
  <si>
    <t>13,98</t>
  </si>
  <si>
    <t>14,76</t>
  </si>
  <si>
    <t>EMASSAMENTO COM MASSA LÁTEX, APLICAÇÃO EM PAREDE, UMA DEMÃO, LIXAMENTO MANUAL. AF_04/2023</t>
  </si>
  <si>
    <t>13,93</t>
  </si>
  <si>
    <t>15,11</t>
  </si>
  <si>
    <t>FUNDO SELADOR ACRÍLICO, APLICAÇÃO MANUAL EM PAREDE, UMA DEMÃO. AF_04/2023</t>
  </si>
  <si>
    <t>4,95</t>
  </si>
  <si>
    <t>5,26</t>
  </si>
  <si>
    <t>87536</t>
  </si>
  <si>
    <t>EMBOÇO, EM ARGAMASSA TRAÇO 1:2:8, PREPARO MANUAL, APLICADO MANUALMENTE EM PAREDES INTERNAS DE AMBIENTES COM ÁREA MAIOR QUE 10M², E = 17,5MM, COM TALISCAS. AF_03/2024</t>
  </si>
  <si>
    <t>40,43</t>
  </si>
  <si>
    <t>43,43</t>
  </si>
  <si>
    <t>CPOS 003950</t>
  </si>
  <si>
    <t>IMPERMEABILIZACAO DE BASE ACRILICA FLEXIVEL</t>
  </si>
  <si>
    <t>PAREDE COM SISTEMA EM CHAPAS DE GESSO PARA DRYWALL, USO INTERNO, COM UMA FACE SIMPLES E ESTRUTURA METÁLICA COM GUIAS SIMPLES, SEM VÃOS. AF_07/2023_PS</t>
  </si>
  <si>
    <t>66,52</t>
  </si>
  <si>
    <t>68,42</t>
  </si>
  <si>
    <t>APLICAÇÃO MANUAL DE TINTA LÁTEX ACRÍLICA EM PANOS SEM PRESENÇA DE VÃOS DE EDIFÍCIOS DE MÚLTIPLOS PAVIMENTOS, DUAS DEMÃOS. AF_03/2024</t>
  </si>
  <si>
    <t>11,25</t>
  </si>
  <si>
    <t>11,83</t>
  </si>
  <si>
    <t>APLICAÇÃO MANUAL DE FUNDO SELADOR ACRÍLICO EM PANOS CEGOS DE FACHADA (SEM PRESENÇA DE VÃOS) DE EDIFÍCIOS DE MÚLTIPLOS PAVIMENTOS. AF_03/2024</t>
  </si>
  <si>
    <t>4,74</t>
  </si>
  <si>
    <t>4,88</t>
  </si>
  <si>
    <t>EMBOÇO OU MASSA ÚNICA EM ARGAMASSA TRAÇO 1:2:8, PREPARO MANUAL, APLICADA MANUALMENTE EM PANOS CEGOS DE FACHADA (SEM PRESENÇA DE VÃOS), ESPESSURA DE 25 MM. AF_09/2022</t>
  </si>
  <si>
    <t>49,69</t>
  </si>
  <si>
    <t>53,43</t>
  </si>
  <si>
    <t>CPOS 3682</t>
  </si>
  <si>
    <t>BALANCIM MANUAL LEVE COMPR=3.0M REMANEJAMENTO-MONTAGEM/DESMONTAGEM</t>
  </si>
  <si>
    <t>mês</t>
  </si>
  <si>
    <t>88488</t>
  </si>
  <si>
    <t>PINTURA LÁTEX ACRÍLICA PREMIUM, APLICAÇÃO MANUAL EM TETO, DUAS DEMÃOS. AF_04/2023</t>
  </si>
  <si>
    <t>16,77</t>
  </si>
  <si>
    <t>17,84</t>
  </si>
  <si>
    <t>88494</t>
  </si>
  <si>
    <t>EMASSAMENTO COM MASSA LÁTEX, APLICAÇÃO EM TETO, UMA DEMÃO, LIXAMENTO MANUAL. AF_04/2023</t>
  </si>
  <si>
    <t>25,21</t>
  </si>
  <si>
    <t>27,62</t>
  </si>
  <si>
    <t>88484</t>
  </si>
  <si>
    <t>FUNDO SELADOR ACRÍLICO, APLICAÇÃO MANUAL EM TETO, UMA DEMÃO. AF_04/2023</t>
  </si>
  <si>
    <t>6,08</t>
  </si>
  <si>
    <t>6,52</t>
  </si>
  <si>
    <t>96114</t>
  </si>
  <si>
    <t>FORRO EM DRYWALL, PARA AMBIENTES COMERCIAIS, INCLUSIVE ESTRUTURA BIRECIONAL DE FIXAÇÃO. AF_08/2023_PS</t>
  </si>
  <si>
    <t>83,04</t>
  </si>
  <si>
    <t>86,61</t>
  </si>
  <si>
    <t xml:space="preserve">FORRO DE FIBRA MINERAL EM PLACAS DE 1250 X 625 MM, E = 15 MM, BORDA RETA, COM PINTURA ANTIMOFO, APOIADO EM PERFIL DE ACO GALVANIZADO COM 24 MM DE BASE - INSTALADO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</si>
  <si>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116,19</t>
  </si>
  <si>
    <t>REMOÇÃO, TRATAMENTO E REPOSIÇÃO DE REJUNTE ACRÍLICO PARA VEDAÇÃO DE ÁREAS MOLHADAS</t>
  </si>
  <si>
    <t>98558</t>
  </si>
  <si>
    <t>TRATAMENTO DE RALO OU PONTO EMERGENTE COM ARGAMASSA POLIMÉRICA / MEMBRANA ACRÍLICA REFORÇADO COM TELA DE POLIÉSTER (MAV). AF_09/2023</t>
  </si>
  <si>
    <t>10,74</t>
  </si>
  <si>
    <t>11,39</t>
  </si>
  <si>
    <t>104598</t>
  </si>
  <si>
    <t>REVESTIMENTO CERÂMICO PARA PISO COM PLACAS TIPO PORCELANATO DE DIMENSÕES 80X80 CM APLICADA EM AMBIENTES DE ÁREA MAIOR QUE 10 M². AF_02/2023_PE</t>
  </si>
  <si>
    <t>153,93</t>
  </si>
  <si>
    <t>156,73</t>
  </si>
  <si>
    <t>101727</t>
  </si>
  <si>
    <t>PISO VINÍLICO SEMI-FLEXÍVEL EM PLACAS, PADRÃO LISO, ESPESSURA 3,2 MM, FIXADO COM COLA. AF_09/2020</t>
  </si>
  <si>
    <t>230,70</t>
  </si>
  <si>
    <t>231,64</t>
  </si>
  <si>
    <t>SOLEIRA EM MÁRMORE, LARGURA 4 CM, ESPESSURA 2,0 CM. AF_09/2020</t>
  </si>
  <si>
    <t>m</t>
  </si>
  <si>
    <t>98695</t>
  </si>
  <si>
    <t>SOLEIRA EM MÁRMORE, LARGURA 15 CM, ESPESSURA 2,0 CM. AF_09/2020</t>
  </si>
  <si>
    <t>114,99</t>
  </si>
  <si>
    <t>117,46</t>
  </si>
  <si>
    <t>102494</t>
  </si>
  <si>
    <t>PINTURA DE PISO COM TINTA EPÓXI, APLICAÇÃO MANUAL, 2 DEMÃOS, INCLUSO PRIMER EPÓXI. AF_05/2021</t>
  </si>
  <si>
    <t>76,15</t>
  </si>
  <si>
    <t>77,53</t>
  </si>
  <si>
    <t>102488</t>
  </si>
  <si>
    <t>PREPARO DO PISO CIMENTADO PARA PINTURA - LIXAMENTO E LIMPEZA. AF_05/2021</t>
  </si>
  <si>
    <t>4,44</t>
  </si>
  <si>
    <t>4,94</t>
  </si>
  <si>
    <t>102803</t>
  </si>
  <si>
    <t>REFORÇO SUPERFICIAL PARA CONTRAPISOS DE ARGAMASSA SEMI-SECA. AF_07/2021</t>
  </si>
  <si>
    <t>2,78</t>
  </si>
  <si>
    <t>3,07</t>
  </si>
  <si>
    <t>101738</t>
  </si>
  <si>
    <t>RODAPÉ EM MADEIRA, ALTURA 7CM, FIXADO COM COLA. AF_09/2020</t>
  </si>
  <si>
    <t>34,51</t>
  </si>
  <si>
    <t>36,41</t>
  </si>
  <si>
    <t>98546</t>
  </si>
  <si>
    <t>IMPERMEABILIZAÇÃO DE SUPERFÍCIE COM MANTA ASFÁLTICA, UMA CAMADA, INCLUSIVE APLICAÇÃO DE PRIMER ASFÁLTICO, E=4MM. AF_09/2023</t>
  </si>
  <si>
    <t>125,58</t>
  </si>
  <si>
    <t>129,99</t>
  </si>
  <si>
    <t>98557</t>
  </si>
  <si>
    <t>IMPERMEABILIZAÇÃO DE SUPERFÍCIE COM EMULSÃO ASFÁLTICA, 2 DEMÃOS. AF_09/2023</t>
  </si>
  <si>
    <t>54,99</t>
  </si>
  <si>
    <t>57,02</t>
  </si>
  <si>
    <t>88476</t>
  </si>
  <si>
    <t>CONTRAPISO COM ARGAMASSA AUTONIVELANTE, APLICADO SOBRE LAJE, ADERIDO, ESPESSURA 2CM. AF_07/2021</t>
  </si>
  <si>
    <t>22,31</t>
  </si>
  <si>
    <t>22,60</t>
  </si>
  <si>
    <t>92543</t>
  </si>
  <si>
    <t>TRAMA DE MADEIRA COMPOSTA POR TERÇAS PARA TELHADOS DE ATÉ 2 ÁGUAS PARA TELHA ONDULADA DE FIBROCIMENTO, METÁLICA, PLÁSTICA OU TERMOACÚSTICA, INCLUSO TRANSPORTE VERTICAL. AF_07/2019</t>
  </si>
  <si>
    <t>30,16</t>
  </si>
  <si>
    <t>30,86</t>
  </si>
  <si>
    <t>94213</t>
  </si>
  <si>
    <t>TELHAMENTO COM TELHA DE AÇO/ALUMÍNIO E = 0,5 MM, COM ATÉ 2 ÁGUAS, INCLUSO IÇAMENTO. AF_07/2019</t>
  </si>
  <si>
    <t>71,38</t>
  </si>
  <si>
    <t>72,04</t>
  </si>
  <si>
    <t>94231</t>
  </si>
  <si>
    <t>RUFO EM CHAPA DE AÇO GALVANIZADO NÚMERO 24, CORTE DE 25 CM, INCLUSO TRANSPORTE VERTICAL. AF_07/2019</t>
  </si>
  <si>
    <t>53,15</t>
  </si>
  <si>
    <t>54,29</t>
  </si>
  <si>
    <t>SETOR</t>
  </si>
  <si>
    <t>1.1</t>
  </si>
  <si>
    <t>1.1.1</t>
  </si>
  <si>
    <t>1.2</t>
  </si>
  <si>
    <t>1.2.1</t>
  </si>
  <si>
    <t>1.2.2</t>
  </si>
  <si>
    <t>1.2.3</t>
  </si>
  <si>
    <t>1.2.4</t>
  </si>
  <si>
    <t>1.2.5</t>
  </si>
  <si>
    <t>1.2.6</t>
  </si>
  <si>
    <t>1.2.7</t>
  </si>
  <si>
    <t>1.2.8</t>
  </si>
  <si>
    <t>1.2.9</t>
  </si>
  <si>
    <t>1.2.10</t>
  </si>
  <si>
    <t>2.1.1</t>
  </si>
  <si>
    <t>2.1.2</t>
  </si>
  <si>
    <t>2.1.3</t>
  </si>
  <si>
    <t>2.1.4</t>
  </si>
  <si>
    <t>2.1.5</t>
  </si>
  <si>
    <t>2.1.6</t>
  </si>
  <si>
    <t>2.2.1</t>
  </si>
  <si>
    <t>2.2.2</t>
  </si>
  <si>
    <t>2.2.3</t>
  </si>
  <si>
    <t>2.2.4</t>
  </si>
  <si>
    <t>2.3.1</t>
  </si>
  <si>
    <t>2.3.2</t>
  </si>
  <si>
    <t>2.3.3</t>
  </si>
  <si>
    <t>2.3.4</t>
  </si>
  <si>
    <t>2.3.5</t>
  </si>
  <si>
    <t>MEMÓRIA DE CÁLCULO</t>
  </si>
  <si>
    <t>2.4.1</t>
  </si>
  <si>
    <t>2.4.2</t>
  </si>
  <si>
    <t>2.4.3</t>
  </si>
  <si>
    <t>2.4.4</t>
  </si>
  <si>
    <t>2.4.5</t>
  </si>
  <si>
    <t>2.4.6</t>
  </si>
  <si>
    <t>2.4.7</t>
  </si>
  <si>
    <t>2.4.8</t>
  </si>
  <si>
    <t>2.4.9</t>
  </si>
  <si>
    <t>2.4.10</t>
  </si>
  <si>
    <t>3.6</t>
  </si>
  <si>
    <t>3.5</t>
  </si>
  <si>
    <r>
      <rPr>
        <b/>
        <sz val="11"/>
        <color theme="1"/>
        <rFont val="Calibri"/>
        <family val="2"/>
        <scheme val="minor"/>
      </rPr>
      <t>LC</t>
    </r>
    <r>
      <rPr>
        <sz val="11"/>
        <color theme="1"/>
        <rFont val="Calibri"/>
        <family val="2"/>
        <scheme val="minor"/>
      </rPr>
      <t xml:space="preserve"> - ALA LUIS DE CAMÕES</t>
    </r>
  </si>
  <si>
    <r>
      <rPr>
        <b/>
        <sz val="11"/>
        <color theme="1"/>
        <rFont val="Calibri"/>
        <family val="2"/>
        <scheme val="minor"/>
      </rPr>
      <t>TR</t>
    </r>
    <r>
      <rPr>
        <sz val="11"/>
        <color theme="1"/>
        <rFont val="Calibri"/>
        <family val="2"/>
        <scheme val="minor"/>
      </rPr>
      <t xml:space="preserve"> - ALA PRAÇA TIRADENTES</t>
    </r>
  </si>
  <si>
    <r>
      <rPr>
        <b/>
        <sz val="11"/>
        <color theme="1"/>
        <rFont val="Calibri"/>
        <family val="2"/>
        <scheme val="minor"/>
      </rPr>
      <t>TER</t>
    </r>
    <r>
      <rPr>
        <sz val="11"/>
        <color theme="1"/>
        <rFont val="Calibri"/>
        <family val="2"/>
        <scheme val="minor"/>
      </rPr>
      <t xml:space="preserve"> - TÉRREO</t>
    </r>
  </si>
  <si>
    <r>
      <rPr>
        <b/>
        <sz val="11"/>
        <color theme="1"/>
        <rFont val="Calibri"/>
        <family val="2"/>
        <scheme val="minor"/>
      </rPr>
      <t>COB</t>
    </r>
    <r>
      <rPr>
        <sz val="11"/>
        <color theme="1"/>
        <rFont val="Calibri"/>
        <family val="2"/>
        <scheme val="minor"/>
      </rPr>
      <t xml:space="preserve"> - COBERTURA</t>
    </r>
  </si>
  <si>
    <r>
      <rPr>
        <b/>
        <sz val="11"/>
        <color theme="1"/>
        <rFont val="Calibri"/>
        <family val="2"/>
        <scheme val="minor"/>
      </rPr>
      <t>LESTE</t>
    </r>
    <r>
      <rPr>
        <sz val="11"/>
        <color theme="1"/>
        <rFont val="Calibri"/>
        <family val="2"/>
        <scheme val="minor"/>
      </rPr>
      <t xml:space="preserve"> - FACHADA LATERAL LESTE</t>
    </r>
  </si>
  <si>
    <r>
      <rPr>
        <b/>
        <sz val="11"/>
        <color theme="1"/>
        <rFont val="Calibri"/>
        <family val="2"/>
        <scheme val="minor"/>
      </rPr>
      <t>OESTE</t>
    </r>
    <r>
      <rPr>
        <sz val="11"/>
        <color theme="1"/>
        <rFont val="Calibri"/>
        <family val="2"/>
        <scheme val="minor"/>
      </rPr>
      <t xml:space="preserve"> - FACHADA LATERAL OESTE</t>
    </r>
  </si>
  <si>
    <t>* VALORES SEM BDI</t>
  </si>
  <si>
    <t>REGIÃO/MÊS DE REF.: RJ - SINAPI - AGOSTO/2024</t>
  </si>
  <si>
    <t>PLANILHA ORÇAMENTÁRIA REFERENCIAL</t>
  </si>
  <si>
    <t>REVESTIMENTO E PINTURA - PAREDES INTERNAS</t>
  </si>
  <si>
    <t>REVESTIMENTO E PINTURA - PAREDES EXTERNAS</t>
  </si>
  <si>
    <t>REVESTIMENTO E PINTURA - TETO</t>
  </si>
  <si>
    <t>REVESTIMENTO E PINTURA - PISO</t>
  </si>
  <si>
    <t>Nº</t>
  </si>
  <si>
    <t>VALOR</t>
  </si>
  <si>
    <t>FINANCEIRO</t>
  </si>
  <si>
    <t>FÍSICO</t>
  </si>
  <si>
    <t>CRONOGRAMA FÍSICO-FINANCEIRO</t>
  </si>
  <si>
    <t>TIPO</t>
  </si>
  <si>
    <t>VALOR COM BDI</t>
  </si>
  <si>
    <t>DESEMBOLSO MENSAL</t>
  </si>
  <si>
    <t>REFORMA NOVA SEDE DO CONSELHO REGIONAL DE FARMÁRIA DO ESTADO DO RIO DE JANEIRO</t>
  </si>
  <si>
    <t xml:space="preserve">MEMORIAL DESCRITIVO </t>
  </si>
  <si>
    <t>2.3.6</t>
  </si>
  <si>
    <t>87886</t>
  </si>
  <si>
    <t>CHAPISCO APLICADO NO TETO OU EM ESTRUTURA, COM DESEMPENADEIRA DENTADA. ARGAMASSA INDUSTRIALIZADA COM PREPARO MANUAL. AF_10/2022</t>
  </si>
  <si>
    <t>19,32</t>
  </si>
  <si>
    <t>18,50</t>
  </si>
  <si>
    <t>ESCADAS</t>
  </si>
  <si>
    <t>104641</t>
  </si>
  <si>
    <t>PINTURA LÁTEX ACRÍLICA ECONÔMICA, APLICAÇÃO MANUAL EM PAREDES, DUAS DEMÃOS. AF_04/2023</t>
  </si>
  <si>
    <t>104639</t>
  </si>
  <si>
    <t>PINTURA LÁTEX ACRÍLICA ECONÔMICA, APLICAÇÃO MANUAL EM TETO, DUAS DEMÃOS. AF_04/2023</t>
  </si>
  <si>
    <t>10,45</t>
  </si>
  <si>
    <t>13,24</t>
  </si>
  <si>
    <t>11,23</t>
  </si>
  <si>
    <t>14,31</t>
  </si>
  <si>
    <t>2.5.1</t>
  </si>
  <si>
    <t>2.5.2</t>
  </si>
  <si>
    <t>2.5.3</t>
  </si>
  <si>
    <t>2.5.4</t>
  </si>
  <si>
    <t>2.1.7</t>
  </si>
  <si>
    <t>102208</t>
  </si>
  <si>
    <t>PINTURA TINTA DE ACABAMENTO (PIGMENTADA) ESMALTE SINTÉTICO FOSCO EM MADEIRA, 1 DEMÃO. AF_01/2021</t>
  </si>
  <si>
    <t>9,78</t>
  </si>
  <si>
    <t>REVESTIMENTO E PINTURA - ESCADAS</t>
  </si>
  <si>
    <t>2.5.5</t>
  </si>
  <si>
    <t>2.5.6</t>
  </si>
  <si>
    <t>100717</t>
  </si>
  <si>
    <t>LIXAMENTO MANUAL EM SUPERFÍCIES METÁLICAS EM OBRA. AF_01/2020</t>
  </si>
  <si>
    <t>100736</t>
  </si>
  <si>
    <t>PINTURA COM TINTA ACRÍLICA DE ACABAMENTO APLICADA A ROLO OU PINCEL SOBRE SUPERFÍCIES METÁLICAS (EXCETO PERFIL) EXECUTADO EM OBRA (POR DEMÃO). AF_01/2020</t>
  </si>
  <si>
    <t>12,78</t>
  </si>
  <si>
    <t>11,64</t>
  </si>
  <si>
    <t>19,42</t>
  </si>
  <si>
    <t>17,68</t>
  </si>
  <si>
    <t>2.5.7</t>
  </si>
  <si>
    <t>COBERTURA E MARQUISES</t>
  </si>
  <si>
    <t>TOTAL GERAL (S/ BDI)</t>
  </si>
  <si>
    <t>DESCRIÇÃO DOS SERVIÇOS</t>
  </si>
  <si>
    <t>PINTURA COM TINTA ACRÍLICA DE ACABAMENTO APLICADA A ROLO OU PINCEL SOBRE SUPERFÍCIES METÁLICAS (EXCETO PERFIL) EXECUTADO EM OBRA. AF_01/2020</t>
  </si>
  <si>
    <r>
      <t xml:space="preserve">Observações: </t>
    </r>
    <r>
      <rPr>
        <sz val="11"/>
        <color theme="1"/>
        <rFont val="Calibri"/>
        <family val="2"/>
        <scheme val="minor"/>
      </rPr>
      <t>Para a elaboração deste orçamento, foram utilizados os encargos sociais do SINAPI - RJ.</t>
    </r>
  </si>
  <si>
    <t>Foi considerado arredondamento de duas casas decimais.</t>
  </si>
  <si>
    <t>VALOR C/ BDI</t>
  </si>
  <si>
    <t>BDI (20,34%)</t>
  </si>
  <si>
    <t>PARCELAS</t>
  </si>
  <si>
    <t>30 dias</t>
  </si>
  <si>
    <t>60 dias</t>
  </si>
  <si>
    <t>COMPOSIÇÃO DO BDI*</t>
  </si>
  <si>
    <t>% Sobre Custo</t>
  </si>
  <si>
    <t>Seguros</t>
  </si>
  <si>
    <t>Riscos</t>
  </si>
  <si>
    <t>Garantias</t>
  </si>
  <si>
    <t>ISS</t>
  </si>
  <si>
    <t>PIS</t>
  </si>
  <si>
    <t>COFINS</t>
  </si>
  <si>
    <t xml:space="preserve">* conforme ACÓRDÃO Nº 2369/2011 – TCU – Plenário </t>
  </si>
  <si>
    <t>Taxa de rateio da Administração Central</t>
  </si>
  <si>
    <t>Taxa de Seguros, Riscos e Garantias</t>
  </si>
  <si>
    <t>taxa de Despesas Financeiras</t>
  </si>
  <si>
    <t>Taxa de Tributos</t>
  </si>
  <si>
    <t>Taxa de Lucro</t>
  </si>
  <si>
    <t>BDI Resultante</t>
  </si>
  <si>
    <t>SIGLAS</t>
  </si>
  <si>
    <t>ITENS</t>
  </si>
  <si>
    <t>AC</t>
  </si>
  <si>
    <t>DF</t>
  </si>
  <si>
    <t>S+R+G</t>
  </si>
  <si>
    <t>I</t>
  </si>
  <si>
    <t>L</t>
  </si>
  <si>
    <t xml:space="preserve">Execução de obras de reforma em edifíco com 6 pavimentos mais subsolo, para renovação e adaptação de layout e instalações da nova sede do Conselho Regional de Farmácia do Rio de Janeiro, situado na Praça Tiradentes 50, Centro - Rio de Janeiro/RJ.                                     </t>
  </si>
  <si>
    <t>As ações a serem implementares contemplam: Pintura de paredes e tetos, troca de pisos vinílicos e rodapés de madeira, aplicação de porcelanato na recepção, impermeabilização de cobertura e troca de telhamento, ajustes de forros em drywall, pintura de portas corta fogo, impermeabilização de áreas molhadas e pintura de piso para estacionamento no subsolo.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</si>
</sst>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#,##0.00_ ;[Red]\-#,##0.00\ "/>
  </numFmts>
  <fonts count="2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26"/>
      <color rgb="FF000000"/>
      <name val="Source Sans Pro"/>
      <family val="2"/>
    </font>
    <font>
      <b/>
      <sz val="26"/>
      <color rgb="FF000000"/>
      <name val="Source Sans Pro"/>
      <family val="2"/>
    </font>
    <font>
      <b/>
      <sz val="14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Courier New"/>
      <family val="3"/>
    </font>
    <font>
      <sz val="9"/>
      <name val="Arial"/>
      <family val="2"/>
    </font>
    <font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b/>
      <i/>
      <sz val="11"/>
      <name val="Arial"/>
      <family val="2"/>
    </font>
    <font>
      <i/>
      <sz val="9"/>
      <color theme="1"/>
      <name val="Arial"/>
      <family val="2"/>
    </font>
    <font>
      <b/>
      <sz val="11"/>
      <color theme="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7" fillId="0" borderId="0"/>
    <xf numFmtId="0" fontId="7" fillId="0" borderId="0"/>
  </cellStyleXfs>
  <cellXfs count="181">
    <xf numFmtId="0" fontId="0" fillId="0" borderId="0" xfId="0"/>
    <xf numFmtId="0" fontId="0" fillId="3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4" borderId="1" xfId="0" applyFill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0" fontId="4" fillId="0" borderId="0" xfId="0" applyFont="1"/>
    <xf numFmtId="0" fontId="6" fillId="0" borderId="0" xfId="0" applyFont="1"/>
    <xf numFmtId="0" fontId="0" fillId="7" borderId="0" xfId="0" applyFill="1"/>
    <xf numFmtId="164" fontId="0" fillId="0" borderId="0" xfId="0" applyNumberFormat="1" applyAlignment="1">
      <alignment horizontal="center"/>
    </xf>
    <xf numFmtId="0" fontId="7" fillId="0" borderId="0" xfId="0" applyFont="1"/>
    <xf numFmtId="164" fontId="7" fillId="0" borderId="0" xfId="0" applyNumberFormat="1" applyFont="1" applyAlignment="1">
      <alignment horizontal="center"/>
    </xf>
    <xf numFmtId="164" fontId="0" fillId="0" borderId="1" xfId="0" applyNumberFormat="1" applyBorder="1" applyAlignment="1">
      <alignment horizontal="center"/>
    </xf>
    <xf numFmtId="0" fontId="8" fillId="10" borderId="5" xfId="0" applyFont="1" applyFill="1" applyBorder="1"/>
    <xf numFmtId="0" fontId="0" fillId="0" borderId="7" xfId="0" applyBorder="1"/>
    <xf numFmtId="0" fontId="8" fillId="6" borderId="2" xfId="0" applyFont="1" applyFill="1" applyBorder="1"/>
    <xf numFmtId="0" fontId="9" fillId="0" borderId="1" xfId="0" applyFont="1" applyBorder="1" applyAlignment="1">
      <alignment horizontal="left"/>
    </xf>
    <xf numFmtId="0" fontId="0" fillId="0" borderId="1" xfId="0" applyBorder="1"/>
    <xf numFmtId="0" fontId="9" fillId="0" borderId="1" xfId="0" applyFont="1" applyBorder="1" applyAlignment="1">
      <alignment horizontal="right"/>
    </xf>
    <xf numFmtId="44" fontId="0" fillId="0" borderId="4" xfId="2" applyFont="1" applyBorder="1"/>
    <xf numFmtId="0" fontId="8" fillId="6" borderId="0" xfId="0" applyFont="1" applyFill="1"/>
    <xf numFmtId="164" fontId="7" fillId="0" borderId="1" xfId="0" applyNumberFormat="1" applyFont="1" applyBorder="1" applyAlignment="1">
      <alignment horizontal="center"/>
    </xf>
    <xf numFmtId="164" fontId="8" fillId="10" borderId="5" xfId="0" applyNumberFormat="1" applyFont="1" applyFill="1" applyBorder="1" applyAlignment="1">
      <alignment horizontal="center"/>
    </xf>
    <xf numFmtId="0" fontId="8" fillId="6" borderId="5" xfId="0" applyFont="1" applyFill="1" applyBorder="1"/>
    <xf numFmtId="164" fontId="8" fillId="6" borderId="5" xfId="0" applyNumberFormat="1" applyFont="1" applyFill="1" applyBorder="1" applyAlignment="1">
      <alignment horizontal="center"/>
    </xf>
    <xf numFmtId="0" fontId="0" fillId="0" borderId="0" xfId="0" applyAlignment="1">
      <alignment horizontal="right"/>
    </xf>
    <xf numFmtId="44" fontId="0" fillId="0" borderId="1" xfId="2" applyFont="1" applyBorder="1"/>
    <xf numFmtId="44" fontId="0" fillId="0" borderId="1" xfId="2" applyFont="1" applyFill="1" applyBorder="1"/>
    <xf numFmtId="0" fontId="8" fillId="10" borderId="0" xfId="0" applyFont="1" applyFill="1"/>
    <xf numFmtId="0" fontId="9" fillId="0" borderId="0" xfId="0" applyFont="1" applyAlignment="1">
      <alignment horizontal="right"/>
    </xf>
    <xf numFmtId="44" fontId="0" fillId="0" borderId="0" xfId="2" applyFont="1"/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 vertical="top" wrapText="1"/>
    </xf>
    <xf numFmtId="43" fontId="10" fillId="0" borderId="0" xfId="1" applyFont="1" applyAlignment="1">
      <alignment horizontal="left" vertical="center" wrapText="1"/>
    </xf>
    <xf numFmtId="164" fontId="0" fillId="0" borderId="0" xfId="0" applyNumberFormat="1" applyBorder="1" applyAlignment="1">
      <alignment horizontal="center"/>
    </xf>
    <xf numFmtId="0" fontId="0" fillId="0" borderId="0" xfId="0" applyAlignment="1">
      <alignment vertical="center"/>
    </xf>
    <xf numFmtId="0" fontId="9" fillId="0" borderId="8" xfId="0" applyFont="1" applyBorder="1" applyAlignment="1">
      <alignment horizontal="left"/>
    </xf>
    <xf numFmtId="0" fontId="8" fillId="10" borderId="5" xfId="0" applyFont="1" applyFill="1" applyBorder="1" applyAlignment="1"/>
    <xf numFmtId="0" fontId="8" fillId="6" borderId="5" xfId="0" applyFont="1" applyFill="1" applyBorder="1" applyAlignment="1"/>
    <xf numFmtId="0" fontId="0" fillId="10" borderId="5" xfId="0" applyFill="1" applyBorder="1"/>
    <xf numFmtId="0" fontId="0" fillId="6" borderId="5" xfId="0" applyFill="1" applyBorder="1"/>
    <xf numFmtId="0" fontId="8" fillId="6" borderId="0" xfId="0" applyFont="1" applyFill="1" applyAlignment="1"/>
    <xf numFmtId="0" fontId="0" fillId="0" borderId="1" xfId="0" applyBorder="1" applyAlignment="1">
      <alignment horizontal="center"/>
    </xf>
    <xf numFmtId="164" fontId="1" fillId="11" borderId="1" xfId="0" applyNumberFormat="1" applyFont="1" applyFill="1" applyBorder="1" applyAlignment="1">
      <alignment horizontal="center"/>
    </xf>
    <xf numFmtId="164" fontId="1" fillId="11" borderId="3" xfId="0" applyNumberFormat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8" fillId="11" borderId="1" xfId="0" applyFont="1" applyFill="1" applyBorder="1" applyAlignment="1">
      <alignment horizontal="center"/>
    </xf>
    <xf numFmtId="0" fontId="1" fillId="10" borderId="5" xfId="0" applyFont="1" applyFill="1" applyBorder="1" applyAlignment="1">
      <alignment horizontal="center"/>
    </xf>
    <xf numFmtId="0" fontId="1" fillId="6" borderId="5" xfId="0" applyFont="1" applyFill="1" applyBorder="1" applyAlignment="1">
      <alignment horizontal="center"/>
    </xf>
    <xf numFmtId="0" fontId="8" fillId="6" borderId="5" xfId="0" applyFont="1" applyFill="1" applyBorder="1" applyAlignment="1">
      <alignment horizontal="center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1" fillId="0" borderId="0" xfId="0" applyFont="1"/>
    <xf numFmtId="0" fontId="13" fillId="0" borderId="1" xfId="0" applyFont="1" applyFill="1" applyBorder="1" applyAlignment="1">
      <alignment horizontal="left" vertical="center"/>
    </xf>
    <xf numFmtId="0" fontId="0" fillId="12" borderId="1" xfId="0" applyFill="1" applyBorder="1"/>
    <xf numFmtId="0" fontId="1" fillId="4" borderId="1" xfId="0" applyFont="1" applyFill="1" applyBorder="1" applyAlignment="1">
      <alignment horizontal="center"/>
    </xf>
    <xf numFmtId="44" fontId="0" fillId="0" borderId="1" xfId="2" applyFont="1" applyBorder="1" applyAlignment="1">
      <alignment horizontal="center"/>
    </xf>
    <xf numFmtId="0" fontId="0" fillId="13" borderId="5" xfId="0" applyFill="1" applyBorder="1"/>
    <xf numFmtId="44" fontId="0" fillId="13" borderId="1" xfId="2" applyFont="1" applyFill="1" applyBorder="1"/>
    <xf numFmtId="0" fontId="12" fillId="0" borderId="0" xfId="0" applyFont="1" applyAlignment="1">
      <alignment horizontal="center"/>
    </xf>
    <xf numFmtId="0" fontId="0" fillId="0" borderId="0" xfId="0" applyAlignment="1">
      <alignment vertical="center" wrapText="1"/>
    </xf>
    <xf numFmtId="0" fontId="1" fillId="6" borderId="4" xfId="0" applyFont="1" applyFill="1" applyBorder="1" applyAlignment="1">
      <alignment horizontal="center"/>
    </xf>
    <xf numFmtId="164" fontId="9" fillId="0" borderId="1" xfId="0" applyNumberFormat="1" applyFont="1" applyBorder="1" applyAlignment="1">
      <alignment horizontal="right"/>
    </xf>
    <xf numFmtId="164" fontId="9" fillId="0" borderId="0" xfId="0" applyNumberFormat="1" applyFont="1" applyAlignment="1">
      <alignment horizontal="right"/>
    </xf>
    <xf numFmtId="164" fontId="9" fillId="0" borderId="1" xfId="0" applyNumberFormat="1" applyFont="1" applyBorder="1" applyAlignment="1">
      <alignment horizontal="center"/>
    </xf>
    <xf numFmtId="164" fontId="8" fillId="6" borderId="0" xfId="0" applyNumberFormat="1" applyFont="1" applyFill="1" applyAlignment="1">
      <alignment horizontal="center"/>
    </xf>
    <xf numFmtId="164" fontId="8" fillId="6" borderId="2" xfId="0" applyNumberFormat="1" applyFont="1" applyFill="1" applyBorder="1" applyAlignment="1">
      <alignment horizontal="center"/>
    </xf>
    <xf numFmtId="164" fontId="8" fillId="10" borderId="0" xfId="0" applyNumberFormat="1" applyFont="1" applyFill="1" applyAlignment="1">
      <alignment horizontal="center"/>
    </xf>
    <xf numFmtId="44" fontId="0" fillId="0" borderId="4" xfId="2" applyFont="1" applyBorder="1" applyAlignment="1">
      <alignment horizontal="center"/>
    </xf>
    <xf numFmtId="164" fontId="8" fillId="6" borderId="0" xfId="0" applyNumberFormat="1" applyFont="1" applyFill="1" applyAlignment="1">
      <alignment horizontal="right"/>
    </xf>
    <xf numFmtId="164" fontId="8" fillId="10" borderId="5" xfId="0" applyNumberFormat="1" applyFont="1" applyFill="1" applyBorder="1" applyAlignment="1">
      <alignment horizontal="right"/>
    </xf>
    <xf numFmtId="164" fontId="8" fillId="6" borderId="2" xfId="0" applyNumberFormat="1" applyFont="1" applyFill="1" applyBorder="1" applyAlignment="1">
      <alignment horizontal="right"/>
    </xf>
    <xf numFmtId="164" fontId="8" fillId="6" borderId="5" xfId="0" applyNumberFormat="1" applyFont="1" applyFill="1" applyBorder="1" applyAlignment="1">
      <alignment horizontal="right"/>
    </xf>
    <xf numFmtId="164" fontId="8" fillId="10" borderId="0" xfId="0" applyNumberFormat="1" applyFont="1" applyFill="1" applyAlignment="1">
      <alignment horizontal="right"/>
    </xf>
    <xf numFmtId="164" fontId="0" fillId="0" borderId="0" xfId="0" applyNumberFormat="1" applyAlignment="1">
      <alignment horizontal="right"/>
    </xf>
    <xf numFmtId="164" fontId="7" fillId="0" borderId="0" xfId="0" applyNumberFormat="1" applyFont="1" applyAlignment="1">
      <alignment horizontal="right"/>
    </xf>
    <xf numFmtId="0" fontId="9" fillId="0" borderId="4" xfId="0" applyFont="1" applyBorder="1" applyAlignment="1">
      <alignment horizontal="left"/>
    </xf>
    <xf numFmtId="44" fontId="8" fillId="6" borderId="2" xfId="0" applyNumberFormat="1" applyFont="1" applyFill="1" applyBorder="1"/>
    <xf numFmtId="44" fontId="8" fillId="6" borderId="0" xfId="2" applyFont="1" applyFill="1" applyAlignment="1">
      <alignment horizontal="center"/>
    </xf>
    <xf numFmtId="44" fontId="8" fillId="10" borderId="5" xfId="0" applyNumberFormat="1" applyFont="1" applyFill="1" applyBorder="1"/>
    <xf numFmtId="44" fontId="8" fillId="10" borderId="6" xfId="0" applyNumberFormat="1" applyFont="1" applyFill="1" applyBorder="1"/>
    <xf numFmtId="44" fontId="8" fillId="6" borderId="2" xfId="2" applyFont="1" applyFill="1" applyBorder="1" applyAlignment="1">
      <alignment horizontal="center"/>
    </xf>
    <xf numFmtId="44" fontId="8" fillId="6" borderId="5" xfId="2" applyFont="1" applyFill="1" applyBorder="1" applyAlignment="1">
      <alignment horizontal="center"/>
    </xf>
    <xf numFmtId="44" fontId="8" fillId="10" borderId="5" xfId="2" applyFont="1" applyFill="1" applyBorder="1" applyAlignment="1">
      <alignment horizontal="center"/>
    </xf>
    <xf numFmtId="44" fontId="8" fillId="10" borderId="0" xfId="2" applyFont="1" applyFill="1" applyAlignment="1">
      <alignment horizontal="center"/>
    </xf>
    <xf numFmtId="0" fontId="0" fillId="10" borderId="0" xfId="0" applyFill="1" applyAlignment="1">
      <alignment horizontal="center"/>
    </xf>
    <xf numFmtId="0" fontId="0" fillId="10" borderId="0" xfId="0" applyFill="1"/>
    <xf numFmtId="164" fontId="0" fillId="10" borderId="0" xfId="0" applyNumberFormat="1" applyFill="1" applyAlignment="1">
      <alignment horizontal="center"/>
    </xf>
    <xf numFmtId="164" fontId="0" fillId="10" borderId="0" xfId="0" applyNumberFormat="1" applyFill="1" applyAlignment="1">
      <alignment horizontal="right"/>
    </xf>
    <xf numFmtId="44" fontId="1" fillId="10" borderId="0" xfId="2" applyFont="1" applyFill="1" applyAlignment="1">
      <alignment horizontal="center" vertical="center"/>
    </xf>
    <xf numFmtId="0" fontId="1" fillId="10" borderId="0" xfId="0" applyFont="1" applyFill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44" fontId="1" fillId="0" borderId="6" xfId="0" applyNumberFormat="1" applyFont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9" borderId="3" xfId="0" applyFill="1" applyBorder="1" applyAlignment="1">
      <alignment horizontal="center" vertical="center" wrapText="1"/>
    </xf>
    <xf numFmtId="0" fontId="0" fillId="5" borderId="5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1" fillId="0" borderId="5" xfId="0" applyFont="1" applyBorder="1" applyAlignment="1">
      <alignment horizontal="right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0" fillId="6" borderId="5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 wrapText="1"/>
    </xf>
    <xf numFmtId="0" fontId="1" fillId="6" borderId="4" xfId="0" applyFont="1" applyFill="1" applyBorder="1" applyAlignment="1">
      <alignment vertical="center" wrapText="1"/>
    </xf>
    <xf numFmtId="0" fontId="1" fillId="8" borderId="4" xfId="0" applyFont="1" applyFill="1" applyBorder="1" applyAlignment="1">
      <alignment vertical="center" wrapText="1"/>
    </xf>
    <xf numFmtId="44" fontId="1" fillId="0" borderId="10" xfId="0" applyNumberFormat="1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44" fontId="1" fillId="6" borderId="1" xfId="0" applyNumberFormat="1" applyFont="1" applyFill="1" applyBorder="1" applyAlignment="1">
      <alignment vertical="center" wrapText="1"/>
    </xf>
    <xf numFmtId="44" fontId="1" fillId="8" borderId="1" xfId="0" applyNumberFormat="1" applyFont="1" applyFill="1" applyBorder="1" applyAlignment="1">
      <alignment vertical="center" wrapText="1"/>
    </xf>
    <xf numFmtId="44" fontId="1" fillId="8" borderId="1" xfId="0" applyNumberFormat="1" applyFont="1" applyFill="1" applyBorder="1" applyAlignment="1">
      <alignment horizontal="center" vertical="center" wrapText="1"/>
    </xf>
    <xf numFmtId="44" fontId="0" fillId="0" borderId="1" xfId="2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17" fillId="0" borderId="0" xfId="0" applyFont="1"/>
    <xf numFmtId="0" fontId="3" fillId="0" borderId="0" xfId="0" applyFont="1"/>
    <xf numFmtId="0" fontId="15" fillId="0" borderId="5" xfId="4" applyFont="1" applyBorder="1" applyAlignment="1">
      <alignment horizontal="center" wrapText="1"/>
    </xf>
    <xf numFmtId="0" fontId="16" fillId="0" borderId="5" xfId="4" applyFont="1" applyBorder="1" applyAlignment="1">
      <alignment horizontal="center" wrapText="1"/>
    </xf>
    <xf numFmtId="0" fontId="18" fillId="3" borderId="5" xfId="4" applyFont="1" applyFill="1" applyBorder="1" applyAlignment="1">
      <alignment horizontal="left" vertical="center" wrapText="1"/>
    </xf>
    <xf numFmtId="0" fontId="19" fillId="0" borderId="0" xfId="0" applyFont="1"/>
    <xf numFmtId="0" fontId="18" fillId="3" borderId="1" xfId="4" applyFont="1" applyFill="1" applyBorder="1" applyAlignment="1">
      <alignment horizontal="left" vertical="center" wrapText="1"/>
    </xf>
    <xf numFmtId="0" fontId="18" fillId="3" borderId="1" xfId="4" applyFont="1" applyFill="1" applyBorder="1" applyAlignment="1">
      <alignment horizontal="center" vertical="center" wrapText="1"/>
    </xf>
    <xf numFmtId="0" fontId="15" fillId="0" borderId="1" xfId="4" applyFont="1" applyBorder="1" applyAlignment="1">
      <alignment horizontal="left" wrapText="1"/>
    </xf>
    <xf numFmtId="10" fontId="15" fillId="0" borderId="1" xfId="4" applyNumberFormat="1" applyFont="1" applyBorder="1" applyAlignment="1">
      <alignment horizontal="center"/>
    </xf>
    <xf numFmtId="0" fontId="16" fillId="0" borderId="1" xfId="4" applyFont="1" applyBorder="1" applyAlignment="1">
      <alignment horizontal="left" wrapText="1"/>
    </xf>
    <xf numFmtId="10" fontId="16" fillId="0" borderId="1" xfId="4" applyNumberFormat="1" applyFont="1" applyBorder="1" applyAlignment="1">
      <alignment horizontal="center"/>
    </xf>
    <xf numFmtId="0" fontId="15" fillId="0" borderId="1" xfId="4" applyFont="1" applyBorder="1" applyAlignment="1">
      <alignment wrapText="1"/>
    </xf>
    <xf numFmtId="0" fontId="20" fillId="14" borderId="1" xfId="4" applyFont="1" applyFill="1" applyBorder="1" applyAlignment="1">
      <alignment wrapText="1"/>
    </xf>
    <xf numFmtId="0" fontId="20" fillId="14" borderId="5" xfId="4" applyFont="1" applyFill="1" applyBorder="1" applyAlignment="1">
      <alignment horizontal="center" wrapText="1"/>
    </xf>
    <xf numFmtId="10" fontId="20" fillId="14" borderId="1" xfId="4" applyNumberFormat="1" applyFont="1" applyFill="1" applyBorder="1" applyAlignment="1">
      <alignment horizontal="center"/>
    </xf>
    <xf numFmtId="0" fontId="0" fillId="0" borderId="1" xfId="0" applyFill="1" applyBorder="1"/>
    <xf numFmtId="0" fontId="12" fillId="0" borderId="0" xfId="0" applyFont="1" applyAlignment="1">
      <alignment horizontal="center" vertical="center"/>
    </xf>
    <xf numFmtId="0" fontId="1" fillId="5" borderId="4" xfId="0" applyFont="1" applyFill="1" applyBorder="1" applyAlignment="1">
      <alignment horizontal="left" vertical="center" wrapText="1"/>
    </xf>
    <xf numFmtId="0" fontId="1" fillId="5" borderId="5" xfId="0" applyFont="1" applyFill="1" applyBorder="1" applyAlignment="1">
      <alignment horizontal="left" vertical="center" wrapText="1"/>
    </xf>
    <xf numFmtId="0" fontId="1" fillId="6" borderId="4" xfId="0" applyFont="1" applyFill="1" applyBorder="1" applyAlignment="1">
      <alignment horizontal="left" vertical="center" wrapText="1"/>
    </xf>
    <xf numFmtId="0" fontId="1" fillId="6" borderId="5" xfId="0" applyFont="1" applyFill="1" applyBorder="1" applyAlignment="1">
      <alignment horizontal="left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8" borderId="4" xfId="0" applyFont="1" applyFill="1" applyBorder="1" applyAlignment="1">
      <alignment horizontal="center" vertical="center" wrapText="1"/>
    </xf>
    <xf numFmtId="0" fontId="1" fillId="8" borderId="5" xfId="0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15" fillId="0" borderId="0" xfId="3" applyFont="1" applyBorder="1" applyAlignment="1">
      <alignment horizontal="center" vertical="center"/>
    </xf>
    <xf numFmtId="0" fontId="1" fillId="5" borderId="1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0" fillId="13" borderId="4" xfId="0" applyFill="1" applyBorder="1" applyAlignment="1">
      <alignment horizontal="right"/>
    </xf>
    <xf numFmtId="0" fontId="0" fillId="13" borderId="5" xfId="0" applyFill="1" applyBorder="1" applyAlignment="1">
      <alignment horizontal="right"/>
    </xf>
    <xf numFmtId="44" fontId="0" fillId="5" borderId="1" xfId="2" applyFont="1" applyFill="1" applyBorder="1" applyAlignment="1">
      <alignment horizontal="left"/>
    </xf>
    <xf numFmtId="44" fontId="0" fillId="3" borderId="1" xfId="2" applyFont="1" applyFill="1" applyBorder="1" applyAlignment="1">
      <alignment horizontal="left"/>
    </xf>
    <xf numFmtId="44" fontId="0" fillId="4" borderId="1" xfId="2" applyFont="1" applyFill="1" applyBorder="1" applyAlignment="1">
      <alignment horizontal="left"/>
    </xf>
    <xf numFmtId="44" fontId="0" fillId="0" borderId="1" xfId="2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44" fontId="0" fillId="0" borderId="3" xfId="2" applyFont="1" applyBorder="1" applyAlignment="1">
      <alignment horizontal="center" vertical="center"/>
    </xf>
    <xf numFmtId="44" fontId="0" fillId="0" borderId="8" xfId="2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/>
    </xf>
    <xf numFmtId="0" fontId="1" fillId="11" borderId="3" xfId="0" applyFont="1" applyFill="1" applyBorder="1" applyAlignment="1">
      <alignment horizontal="center" vertical="center"/>
    </xf>
    <xf numFmtId="164" fontId="1" fillId="11" borderId="1" xfId="0" applyNumberFormat="1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164" fontId="8" fillId="11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5">
    <cellStyle name="Moeda" xfId="2" builtinId="4"/>
    <cellStyle name="Normal" xfId="0" builtinId="0"/>
    <cellStyle name="Normal 3" xfId="3"/>
    <cellStyle name="Normal 4" xfId="4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BDI!A7"/><Relationship Id="rId7" Type="http://schemas.openxmlformats.org/officeDocument/2006/relationships/hyperlink" Target="#'Memorial Descritivo'!A5"/><Relationship Id="rId2" Type="http://schemas.openxmlformats.org/officeDocument/2006/relationships/image" Target="../media/image1.png"/><Relationship Id="rId1" Type="http://schemas.openxmlformats.org/officeDocument/2006/relationships/hyperlink" Target="#'Or&#231;amento Referencial'!A8"/><Relationship Id="rId6" Type="http://schemas.openxmlformats.org/officeDocument/2006/relationships/hyperlink" Target="#ART!B6"/><Relationship Id="rId5" Type="http://schemas.openxmlformats.org/officeDocument/2006/relationships/hyperlink" Target="#'Mem&#243;ria de C&#225;lculo'!A5"/><Relationship Id="rId4" Type="http://schemas.openxmlformats.org/officeDocument/2006/relationships/hyperlink" Target="#Cronograma!A8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&#205;CIO!B3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IN&#205;CIO!B3"/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&#205;CIO!B3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&#205;CIO!B3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&#205;CIO!B3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#IN&#205;CIO!B3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142875</xdr:rowOff>
    </xdr:from>
    <xdr:to>
      <xdr:col>15</xdr:col>
      <xdr:colOff>152400</xdr:colOff>
      <xdr:row>21</xdr:row>
      <xdr:rowOff>161925</xdr:rowOff>
    </xdr:to>
    <xdr:sp macro="" textlink="">
      <xdr:nvSpPr>
        <xdr:cNvPr id="3" name="Retângulo: Cantos Arredondados 2">
          <a:extLst>
            <a:ext uri="{FF2B5EF4-FFF2-40B4-BE49-F238E27FC236}">
              <a16:creationId xmlns:a16="http://schemas.microsoft.com/office/drawing/2014/main" xmlns="" id="{41223013-7C64-96D6-FDCC-1658A898566E}"/>
            </a:ext>
          </a:extLst>
        </xdr:cNvPr>
        <xdr:cNvSpPr/>
      </xdr:nvSpPr>
      <xdr:spPr>
        <a:xfrm>
          <a:off x="142875" y="142875"/>
          <a:ext cx="9153525" cy="4019550"/>
        </a:xfrm>
        <a:prstGeom prst="roundRect">
          <a:avLst/>
        </a:prstGeom>
        <a:effectLst>
          <a:innerShdw blurRad="114300">
            <a:prstClr val="black"/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</xdr:col>
      <xdr:colOff>133350</xdr:colOff>
      <xdr:row>4</xdr:row>
      <xdr:rowOff>19049</xdr:rowOff>
    </xdr:from>
    <xdr:to>
      <xdr:col>3</xdr:col>
      <xdr:colOff>552450</xdr:colOff>
      <xdr:row>7</xdr:row>
      <xdr:rowOff>85725</xdr:rowOff>
    </xdr:to>
    <xdr:sp macro="" textlink="">
      <xdr:nvSpPr>
        <xdr:cNvPr id="4" name="Retângulo: Cantos Arredondados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33DDFE89-89CE-C26F-DD52-FC3B7F6E2DE9}"/>
            </a:ext>
          </a:extLst>
        </xdr:cNvPr>
        <xdr:cNvSpPr/>
      </xdr:nvSpPr>
      <xdr:spPr>
        <a:xfrm>
          <a:off x="742950" y="781049"/>
          <a:ext cx="1638300" cy="638176"/>
        </a:xfrm>
        <a:prstGeom prst="roundRect">
          <a:avLst/>
        </a:prstGeom>
        <a:solidFill>
          <a:schemeClr val="accent4"/>
        </a:solidFill>
        <a:effectLst>
          <a:innerShdw blurRad="63500" dist="50800" dir="27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 i="1"/>
            <a:t>ORÇAMENTO REFERENCIAL</a:t>
          </a:r>
        </a:p>
      </xdr:txBody>
    </xdr:sp>
    <xdr:clientData/>
  </xdr:twoCellAnchor>
  <xdr:twoCellAnchor editAs="oneCell">
    <xdr:from>
      <xdr:col>5</xdr:col>
      <xdr:colOff>171450</xdr:colOff>
      <xdr:row>6</xdr:row>
      <xdr:rowOff>114300</xdr:rowOff>
    </xdr:from>
    <xdr:to>
      <xdr:col>10</xdr:col>
      <xdr:colOff>190499</xdr:colOff>
      <xdr:row>14</xdr:row>
      <xdr:rowOff>156379</xdr:rowOff>
    </xdr:to>
    <xdr:pic>
      <xdr:nvPicPr>
        <xdr:cNvPr id="2" name="Imagem 1" descr="Concurso CRF RJ oferece 22 Vagas: Fique por dentro de todas as informações">
          <a:extLst>
            <a:ext uri="{FF2B5EF4-FFF2-40B4-BE49-F238E27FC236}">
              <a16:creationId xmlns:a16="http://schemas.microsoft.com/office/drawing/2014/main" xmlns="" id="{E1A80A55-D5CC-0131-FE77-FE2F45CC93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9450" y="1257300"/>
          <a:ext cx="3067049" cy="15660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142875</xdr:colOff>
      <xdr:row>9</xdr:row>
      <xdr:rowOff>142874</xdr:rowOff>
    </xdr:from>
    <xdr:to>
      <xdr:col>3</xdr:col>
      <xdr:colOff>561975</xdr:colOff>
      <xdr:row>13</xdr:row>
      <xdr:rowOff>19050</xdr:rowOff>
    </xdr:to>
    <xdr:sp macro="" textlink="">
      <xdr:nvSpPr>
        <xdr:cNvPr id="14" name="Retângulo: Cantos Arredondados 1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BBA537FD-17B0-46B6-9C37-21E5F7EF42FF}"/>
            </a:ext>
          </a:extLst>
        </xdr:cNvPr>
        <xdr:cNvSpPr/>
      </xdr:nvSpPr>
      <xdr:spPr>
        <a:xfrm>
          <a:off x="752475" y="1857374"/>
          <a:ext cx="1638300" cy="638176"/>
        </a:xfrm>
        <a:prstGeom prst="roundRect">
          <a:avLst/>
        </a:prstGeom>
        <a:solidFill>
          <a:schemeClr val="accent4"/>
        </a:solidFill>
        <a:effectLst>
          <a:innerShdw blurRad="63500" dist="50800" dir="27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 i="1"/>
            <a:t>COMPOSIÇÃO</a:t>
          </a:r>
          <a:r>
            <a:rPr lang="pt-BR" sz="1400" b="1" i="1" baseline="0"/>
            <a:t> DE BDI</a:t>
          </a:r>
          <a:endParaRPr lang="pt-BR" sz="1400" b="1" i="1"/>
        </a:p>
      </xdr:txBody>
    </xdr:sp>
    <xdr:clientData/>
  </xdr:twoCellAnchor>
  <xdr:twoCellAnchor>
    <xdr:from>
      <xdr:col>1</xdr:col>
      <xdr:colOff>152400</xdr:colOff>
      <xdr:row>15</xdr:row>
      <xdr:rowOff>85725</xdr:rowOff>
    </xdr:from>
    <xdr:to>
      <xdr:col>3</xdr:col>
      <xdr:colOff>571500</xdr:colOff>
      <xdr:row>18</xdr:row>
      <xdr:rowOff>152401</xdr:rowOff>
    </xdr:to>
    <xdr:sp macro="" textlink="">
      <xdr:nvSpPr>
        <xdr:cNvPr id="15" name="Retângulo: Cantos Arredondados 1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78BC9A97-E05D-4308-9522-67F7DDE8B123}"/>
            </a:ext>
          </a:extLst>
        </xdr:cNvPr>
        <xdr:cNvSpPr/>
      </xdr:nvSpPr>
      <xdr:spPr>
        <a:xfrm>
          <a:off x="762000" y="2943225"/>
          <a:ext cx="1638300" cy="638176"/>
        </a:xfrm>
        <a:prstGeom prst="roundRect">
          <a:avLst/>
        </a:prstGeom>
        <a:solidFill>
          <a:schemeClr val="accent4"/>
        </a:solidFill>
        <a:effectLst>
          <a:innerShdw blurRad="63500" dist="50800" dir="27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300" b="1" i="1"/>
            <a:t>CRONOGRAMA FÍSICO-FINANCEIRO</a:t>
          </a:r>
        </a:p>
      </xdr:txBody>
    </xdr:sp>
    <xdr:clientData/>
  </xdr:twoCellAnchor>
  <xdr:twoCellAnchor>
    <xdr:from>
      <xdr:col>11</xdr:col>
      <xdr:colOff>276225</xdr:colOff>
      <xdr:row>4</xdr:row>
      <xdr:rowOff>0</xdr:rowOff>
    </xdr:from>
    <xdr:to>
      <xdr:col>14</xdr:col>
      <xdr:colOff>85725</xdr:colOff>
      <xdr:row>7</xdr:row>
      <xdr:rowOff>66676</xdr:rowOff>
    </xdr:to>
    <xdr:sp macro="" textlink="">
      <xdr:nvSpPr>
        <xdr:cNvPr id="16" name="Retângulo: Cantos Arredondados 1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1A0AEC6-FAF1-4A78-A1EE-AE406E309D59}"/>
            </a:ext>
          </a:extLst>
        </xdr:cNvPr>
        <xdr:cNvSpPr/>
      </xdr:nvSpPr>
      <xdr:spPr>
        <a:xfrm>
          <a:off x="6981825" y="762000"/>
          <a:ext cx="1638300" cy="638176"/>
        </a:xfrm>
        <a:prstGeom prst="roundRect">
          <a:avLst/>
        </a:prstGeom>
        <a:solidFill>
          <a:schemeClr val="accent4"/>
        </a:solidFill>
        <a:effectLst>
          <a:innerShdw blurRad="63500" dist="50800" dir="27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 i="1"/>
            <a:t>MEMÓRIA</a:t>
          </a:r>
          <a:r>
            <a:rPr lang="pt-BR" sz="1400" b="1" i="1" baseline="0"/>
            <a:t> DE CÁLCULO</a:t>
          </a:r>
          <a:endParaRPr lang="pt-BR" sz="1400" b="1" i="1"/>
        </a:p>
      </xdr:txBody>
    </xdr:sp>
    <xdr:clientData/>
  </xdr:twoCellAnchor>
  <xdr:twoCellAnchor>
    <xdr:from>
      <xdr:col>11</xdr:col>
      <xdr:colOff>266700</xdr:colOff>
      <xdr:row>9</xdr:row>
      <xdr:rowOff>123825</xdr:rowOff>
    </xdr:from>
    <xdr:to>
      <xdr:col>14</xdr:col>
      <xdr:colOff>76200</xdr:colOff>
      <xdr:row>13</xdr:row>
      <xdr:rowOff>1</xdr:rowOff>
    </xdr:to>
    <xdr:sp macro="" textlink="">
      <xdr:nvSpPr>
        <xdr:cNvPr id="17" name="Retângulo: Cantos Arredondados 1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2C5CDBD7-5D7F-4B48-8B65-ABFE17584627}"/>
            </a:ext>
          </a:extLst>
        </xdr:cNvPr>
        <xdr:cNvSpPr/>
      </xdr:nvSpPr>
      <xdr:spPr>
        <a:xfrm>
          <a:off x="6972300" y="1838325"/>
          <a:ext cx="1638300" cy="638176"/>
        </a:xfrm>
        <a:prstGeom prst="roundRect">
          <a:avLst/>
        </a:prstGeom>
        <a:solidFill>
          <a:schemeClr val="accent4"/>
        </a:solidFill>
        <a:effectLst>
          <a:innerShdw blurRad="63500" dist="50800" dir="27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 i="1"/>
            <a:t>ART</a:t>
          </a:r>
        </a:p>
      </xdr:txBody>
    </xdr:sp>
    <xdr:clientData/>
  </xdr:twoCellAnchor>
  <xdr:twoCellAnchor>
    <xdr:from>
      <xdr:col>11</xdr:col>
      <xdr:colOff>276225</xdr:colOff>
      <xdr:row>15</xdr:row>
      <xdr:rowOff>66675</xdr:rowOff>
    </xdr:from>
    <xdr:to>
      <xdr:col>14</xdr:col>
      <xdr:colOff>85725</xdr:colOff>
      <xdr:row>18</xdr:row>
      <xdr:rowOff>133351</xdr:rowOff>
    </xdr:to>
    <xdr:sp macro="" textlink="">
      <xdr:nvSpPr>
        <xdr:cNvPr id="18" name="Retângulo: Cantos Arredondados 1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773CFB90-5060-4766-8B06-9A82B5EB052C}"/>
            </a:ext>
          </a:extLst>
        </xdr:cNvPr>
        <xdr:cNvSpPr/>
      </xdr:nvSpPr>
      <xdr:spPr>
        <a:xfrm>
          <a:off x="6981825" y="2924175"/>
          <a:ext cx="1638300" cy="638176"/>
        </a:xfrm>
        <a:prstGeom prst="roundRect">
          <a:avLst/>
        </a:prstGeom>
        <a:solidFill>
          <a:schemeClr val="accent4"/>
        </a:solidFill>
        <a:effectLst>
          <a:innerShdw blurRad="63500" dist="50800" dir="27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400" b="1" i="1"/>
            <a:t>MEMORIAL DESCRITIVO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0</xdr:row>
      <xdr:rowOff>76200</xdr:rowOff>
    </xdr:from>
    <xdr:to>
      <xdr:col>1</xdr:col>
      <xdr:colOff>571500</xdr:colOff>
      <xdr:row>2</xdr:row>
      <xdr:rowOff>0</xdr:rowOff>
    </xdr:to>
    <xdr:sp macro="" textlink="">
      <xdr:nvSpPr>
        <xdr:cNvPr id="2" name="Retângulo: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51526DB-748A-AD64-2BBD-83097DFF1CF2}"/>
            </a:ext>
          </a:extLst>
        </xdr:cNvPr>
        <xdr:cNvSpPr/>
      </xdr:nvSpPr>
      <xdr:spPr>
        <a:xfrm>
          <a:off x="152400" y="76200"/>
          <a:ext cx="962025" cy="323850"/>
        </a:xfrm>
        <a:prstGeom prst="roundRect">
          <a:avLst/>
        </a:prstGeom>
        <a:effectLst>
          <a:innerShdw blurRad="63500" dist="50800" dir="81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pt-BR" sz="1100" b="1" i="1"/>
            <a:t>           INÍCIO</a:t>
          </a:r>
        </a:p>
      </xdr:txBody>
    </xdr:sp>
    <xdr:clientData/>
  </xdr:twoCellAnchor>
  <xdr:twoCellAnchor editAs="oneCell">
    <xdr:from>
      <xdr:col>0</xdr:col>
      <xdr:colOff>228601</xdr:colOff>
      <xdr:row>0</xdr:row>
      <xdr:rowOff>76200</xdr:rowOff>
    </xdr:from>
    <xdr:to>
      <xdr:col>0</xdr:col>
      <xdr:colOff>533401</xdr:colOff>
      <xdr:row>1</xdr:row>
      <xdr:rowOff>190500</xdr:rowOff>
    </xdr:to>
    <xdr:pic>
      <xdr:nvPicPr>
        <xdr:cNvPr id="3" name="Imagem 2" descr="Símbolo de casa imobiliária - ícones de edifícios grátis">
          <a:extLst>
            <a:ext uri="{FF2B5EF4-FFF2-40B4-BE49-F238E27FC236}">
              <a16:creationId xmlns:a16="http://schemas.microsoft.com/office/drawing/2014/main" xmlns="" id="{90AEF962-52E3-AAA2-6695-E40871F8E6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1" y="76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21</xdr:row>
      <xdr:rowOff>0</xdr:rowOff>
    </xdr:from>
    <xdr:to>
      <xdr:col>3</xdr:col>
      <xdr:colOff>58018</xdr:colOff>
      <xdr:row>23</xdr:row>
      <xdr:rowOff>114369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xmlns="" id="{77653D60-29EB-81CD-9F27-34BD6E228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191000"/>
          <a:ext cx="6220693" cy="49536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0</xdr:row>
      <xdr:rowOff>47625</xdr:rowOff>
    </xdr:from>
    <xdr:to>
      <xdr:col>0</xdr:col>
      <xdr:colOff>1038225</xdr:colOff>
      <xdr:row>1</xdr:row>
      <xdr:rowOff>180975</xdr:rowOff>
    </xdr:to>
    <xdr:sp macro="" textlink="">
      <xdr:nvSpPr>
        <xdr:cNvPr id="5" name="Retângulo: Cantos Arredondados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CAA1DD0-AFA5-49F6-A7EB-2122662D4AEA}"/>
            </a:ext>
          </a:extLst>
        </xdr:cNvPr>
        <xdr:cNvSpPr/>
      </xdr:nvSpPr>
      <xdr:spPr>
        <a:xfrm>
          <a:off x="76200" y="47625"/>
          <a:ext cx="962025" cy="323850"/>
        </a:xfrm>
        <a:prstGeom prst="roundRect">
          <a:avLst/>
        </a:prstGeom>
        <a:effectLst>
          <a:innerShdw blurRad="63500" dist="50800" dir="81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pt-BR" sz="1100" b="1" i="1"/>
            <a:t>           INÍCIO</a:t>
          </a:r>
        </a:p>
      </xdr:txBody>
    </xdr:sp>
    <xdr:clientData/>
  </xdr:twoCellAnchor>
  <xdr:twoCellAnchor editAs="oneCell">
    <xdr:from>
      <xdr:col>0</xdr:col>
      <xdr:colOff>152401</xdr:colOff>
      <xdr:row>0</xdr:row>
      <xdr:rowOff>47625</xdr:rowOff>
    </xdr:from>
    <xdr:to>
      <xdr:col>0</xdr:col>
      <xdr:colOff>457201</xdr:colOff>
      <xdr:row>1</xdr:row>
      <xdr:rowOff>161925</xdr:rowOff>
    </xdr:to>
    <xdr:pic>
      <xdr:nvPicPr>
        <xdr:cNvPr id="6" name="Imagem 5" descr="Símbolo de casa imobiliária - ícones de edifícios grátis">
          <a:extLst>
            <a:ext uri="{FF2B5EF4-FFF2-40B4-BE49-F238E27FC236}">
              <a16:creationId xmlns:a16="http://schemas.microsoft.com/office/drawing/2014/main" xmlns="" id="{1BD7C9D4-D146-4F0E-AB27-8C0D9BD780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1" y="4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790575</xdr:colOff>
      <xdr:row>2</xdr:row>
      <xdr:rowOff>0</xdr:rowOff>
    </xdr:to>
    <xdr:sp macro="" textlink="">
      <xdr:nvSpPr>
        <xdr:cNvPr id="4" name="Retângulo: Cantos Arredondados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11E1E65-EE4A-4695-A912-2D149ED20309}"/>
            </a:ext>
          </a:extLst>
        </xdr:cNvPr>
        <xdr:cNvSpPr/>
      </xdr:nvSpPr>
      <xdr:spPr>
        <a:xfrm>
          <a:off x="47625" y="57150"/>
          <a:ext cx="962025" cy="323850"/>
        </a:xfrm>
        <a:prstGeom prst="roundRect">
          <a:avLst/>
        </a:prstGeom>
        <a:effectLst>
          <a:innerShdw blurRad="63500" dist="50800" dir="81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pt-BR" sz="1100" b="1" i="1"/>
            <a:t>           INÍCIO</a:t>
          </a:r>
        </a:p>
      </xdr:txBody>
    </xdr:sp>
    <xdr:clientData/>
  </xdr:twoCellAnchor>
  <xdr:twoCellAnchor editAs="oneCell">
    <xdr:from>
      <xdr:col>0</xdr:col>
      <xdr:colOff>123826</xdr:colOff>
      <xdr:row>0</xdr:row>
      <xdr:rowOff>57150</xdr:rowOff>
    </xdr:from>
    <xdr:to>
      <xdr:col>1</xdr:col>
      <xdr:colOff>209551</xdr:colOff>
      <xdr:row>1</xdr:row>
      <xdr:rowOff>171450</xdr:rowOff>
    </xdr:to>
    <xdr:pic>
      <xdr:nvPicPr>
        <xdr:cNvPr id="5" name="Imagem 4" descr="Símbolo de casa imobiliária - ícones de edifícios grátis">
          <a:extLst>
            <a:ext uri="{FF2B5EF4-FFF2-40B4-BE49-F238E27FC236}">
              <a16:creationId xmlns:a16="http://schemas.microsoft.com/office/drawing/2014/main" xmlns="" id="{A09E0D1C-6BD9-4528-A273-3EEA17D99D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6" y="571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57150</xdr:rowOff>
    </xdr:from>
    <xdr:to>
      <xdr:col>1</xdr:col>
      <xdr:colOff>685800</xdr:colOff>
      <xdr:row>2</xdr:row>
      <xdr:rowOff>0</xdr:rowOff>
    </xdr:to>
    <xdr:sp macro="" textlink="">
      <xdr:nvSpPr>
        <xdr:cNvPr id="4" name="Retângulo: Cantos Arredondados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F35451F-1520-47FC-A08C-3CA19B3D42A6}"/>
            </a:ext>
          </a:extLst>
        </xdr:cNvPr>
        <xdr:cNvSpPr/>
      </xdr:nvSpPr>
      <xdr:spPr>
        <a:xfrm>
          <a:off x="76200" y="57150"/>
          <a:ext cx="962025" cy="323850"/>
        </a:xfrm>
        <a:prstGeom prst="roundRect">
          <a:avLst/>
        </a:prstGeom>
        <a:effectLst>
          <a:innerShdw blurRad="63500" dist="50800" dir="81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pt-BR" sz="1100" b="1" i="1"/>
            <a:t>           INÍCIO</a:t>
          </a:r>
        </a:p>
      </xdr:txBody>
    </xdr:sp>
    <xdr:clientData/>
  </xdr:twoCellAnchor>
  <xdr:twoCellAnchor editAs="oneCell">
    <xdr:from>
      <xdr:col>0</xdr:col>
      <xdr:colOff>152401</xdr:colOff>
      <xdr:row>0</xdr:row>
      <xdr:rowOff>57150</xdr:rowOff>
    </xdr:from>
    <xdr:to>
      <xdr:col>1</xdr:col>
      <xdr:colOff>104776</xdr:colOff>
      <xdr:row>1</xdr:row>
      <xdr:rowOff>171450</xdr:rowOff>
    </xdr:to>
    <xdr:pic>
      <xdr:nvPicPr>
        <xdr:cNvPr id="5" name="Imagem 4" descr="Símbolo de casa imobiliária - ícones de edifícios grátis">
          <a:extLst>
            <a:ext uri="{FF2B5EF4-FFF2-40B4-BE49-F238E27FC236}">
              <a16:creationId xmlns:a16="http://schemas.microsoft.com/office/drawing/2014/main" xmlns="" id="{2870AA2C-E96A-4B91-A2CD-801BF46774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1" y="571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47625</xdr:rowOff>
    </xdr:from>
    <xdr:to>
      <xdr:col>1</xdr:col>
      <xdr:colOff>495300</xdr:colOff>
      <xdr:row>1</xdr:row>
      <xdr:rowOff>180975</xdr:rowOff>
    </xdr:to>
    <xdr:sp macro="" textlink="">
      <xdr:nvSpPr>
        <xdr:cNvPr id="2" name="Retângulo: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B6459E5-8A74-41A0-853D-374813AE070B}"/>
            </a:ext>
          </a:extLst>
        </xdr:cNvPr>
        <xdr:cNvSpPr/>
      </xdr:nvSpPr>
      <xdr:spPr>
        <a:xfrm>
          <a:off x="142875" y="47625"/>
          <a:ext cx="962025" cy="323850"/>
        </a:xfrm>
        <a:prstGeom prst="roundRect">
          <a:avLst/>
        </a:prstGeom>
        <a:effectLst>
          <a:innerShdw blurRad="63500" dist="50800" dir="81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pt-BR" sz="1100" b="1" i="1"/>
            <a:t>           INÍCIO</a:t>
          </a:r>
        </a:p>
      </xdr:txBody>
    </xdr:sp>
    <xdr:clientData/>
  </xdr:twoCellAnchor>
  <xdr:twoCellAnchor editAs="oneCell">
    <xdr:from>
      <xdr:col>0</xdr:col>
      <xdr:colOff>219076</xdr:colOff>
      <xdr:row>0</xdr:row>
      <xdr:rowOff>47625</xdr:rowOff>
    </xdr:from>
    <xdr:to>
      <xdr:col>0</xdr:col>
      <xdr:colOff>523876</xdr:colOff>
      <xdr:row>1</xdr:row>
      <xdr:rowOff>161925</xdr:rowOff>
    </xdr:to>
    <xdr:pic>
      <xdr:nvPicPr>
        <xdr:cNvPr id="3" name="Imagem 2" descr="Símbolo de casa imobiliária - ícones de edifícios grátis">
          <a:extLst>
            <a:ext uri="{FF2B5EF4-FFF2-40B4-BE49-F238E27FC236}">
              <a16:creationId xmlns:a16="http://schemas.microsoft.com/office/drawing/2014/main" xmlns="" id="{73FC12CF-AA30-4FCF-A7B6-DD0F79BD9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6" y="47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142875</xdr:colOff>
      <xdr:row>3</xdr:row>
      <xdr:rowOff>161925</xdr:rowOff>
    </xdr:from>
    <xdr:to>
      <xdr:col>14</xdr:col>
      <xdr:colOff>267908</xdr:colOff>
      <xdr:row>66</xdr:row>
      <xdr:rowOff>144547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xmlns="" id="{00A60FD4-55A1-9417-A2B0-70399ABFE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2875" y="990600"/>
          <a:ext cx="8659433" cy="11984122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76200</xdr:rowOff>
    </xdr:from>
    <xdr:to>
      <xdr:col>1</xdr:col>
      <xdr:colOff>438150</xdr:colOff>
      <xdr:row>2</xdr:row>
      <xdr:rowOff>19050</xdr:rowOff>
    </xdr:to>
    <xdr:sp macro="" textlink="">
      <xdr:nvSpPr>
        <xdr:cNvPr id="2" name="Retângulo: Cantos Arredondados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9AB510A9-E668-4E0B-8076-CB61695FA5BA}"/>
            </a:ext>
          </a:extLst>
        </xdr:cNvPr>
        <xdr:cNvSpPr/>
      </xdr:nvSpPr>
      <xdr:spPr>
        <a:xfrm>
          <a:off x="85725" y="76200"/>
          <a:ext cx="962025" cy="323850"/>
        </a:xfrm>
        <a:prstGeom prst="roundRect">
          <a:avLst/>
        </a:prstGeom>
        <a:effectLst>
          <a:innerShdw blurRad="63500" dist="50800" dir="81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pt-BR" sz="1100" b="1" i="1"/>
            <a:t>           INÍCIO</a:t>
          </a:r>
        </a:p>
      </xdr:txBody>
    </xdr:sp>
    <xdr:clientData/>
  </xdr:twoCellAnchor>
  <xdr:twoCellAnchor editAs="oneCell">
    <xdr:from>
      <xdr:col>0</xdr:col>
      <xdr:colOff>133350</xdr:colOff>
      <xdr:row>0</xdr:row>
      <xdr:rowOff>76200</xdr:rowOff>
    </xdr:from>
    <xdr:to>
      <xdr:col>0</xdr:col>
      <xdr:colOff>438150</xdr:colOff>
      <xdr:row>2</xdr:row>
      <xdr:rowOff>0</xdr:rowOff>
    </xdr:to>
    <xdr:pic>
      <xdr:nvPicPr>
        <xdr:cNvPr id="3" name="Imagem 2" descr="Símbolo de casa imobiliária - ícones de edifícios grátis">
          <a:extLst>
            <a:ext uri="{FF2B5EF4-FFF2-40B4-BE49-F238E27FC236}">
              <a16:creationId xmlns:a16="http://schemas.microsoft.com/office/drawing/2014/main" xmlns="" id="{92F46A61-E92B-46D6-AA5B-F8C1910DFB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76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showGridLines="0" workbookViewId="0">
      <selection activeCell="B3" sqref="B3"/>
    </sheetView>
  </sheetViews>
  <sheetFormatPr defaultColWidth="0" defaultRowHeight="15" zeroHeight="1"/>
  <cols>
    <col min="1" max="16" width="9.140625" style="11" customWidth="1"/>
    <col min="17" max="17" width="9.140625" style="1" hidden="1" customWidth="1"/>
    <col min="18" max="16384" width="9.140625" style="1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/>
    <row r="18"/>
    <row r="19"/>
    <row r="20"/>
    <row r="21"/>
    <row r="22"/>
    <row r="23"/>
  </sheetData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749"/>
  <sheetViews>
    <sheetView showGridLines="0" workbookViewId="0">
      <selection activeCell="A8" sqref="A8"/>
    </sheetView>
  </sheetViews>
  <sheetFormatPr defaultRowHeight="15"/>
  <cols>
    <col min="1" max="1" width="8.140625" customWidth="1"/>
    <col min="2" max="2" width="11.85546875" customWidth="1"/>
    <col min="3" max="3" width="86.5703125" customWidth="1"/>
    <col min="5" max="5" width="8.5703125" bestFit="1" customWidth="1"/>
    <col min="6" max="6" width="14.85546875" bestFit="1" customWidth="1"/>
    <col min="7" max="7" width="13.85546875" bestFit="1" customWidth="1"/>
    <col min="8" max="8" width="14.85546875" bestFit="1" customWidth="1"/>
    <col min="9" max="9" width="18.7109375" bestFit="1" customWidth="1"/>
  </cols>
  <sheetData>
    <row r="2" spans="1:12" ht="16.5" customHeight="1"/>
    <row r="3" spans="1:12" ht="16.5" customHeight="1">
      <c r="C3" s="145" t="s">
        <v>257</v>
      </c>
      <c r="D3" s="145"/>
      <c r="E3" s="145"/>
      <c r="F3" s="145"/>
      <c r="G3" s="145"/>
      <c r="H3" s="145"/>
    </row>
    <row r="5" spans="1:12">
      <c r="A5" s="56" t="s">
        <v>0</v>
      </c>
    </row>
    <row r="6" spans="1:12">
      <c r="A6" s="56" t="s">
        <v>256</v>
      </c>
      <c r="G6" s="7" t="s">
        <v>6</v>
      </c>
      <c r="I6" s="7" t="s">
        <v>6</v>
      </c>
    </row>
    <row r="7" spans="1:12">
      <c r="A7" s="2"/>
      <c r="B7" s="2"/>
      <c r="C7" s="2"/>
      <c r="D7" s="2"/>
      <c r="E7" s="2"/>
      <c r="F7" s="2"/>
      <c r="G7" s="8">
        <v>0.2034</v>
      </c>
      <c r="H7" s="2"/>
      <c r="I7" s="8">
        <v>0.2034</v>
      </c>
      <c r="J7" s="2"/>
    </row>
    <row r="8" spans="1:12" ht="45">
      <c r="A8" s="110" t="s">
        <v>1</v>
      </c>
      <c r="B8" s="111" t="s">
        <v>2</v>
      </c>
      <c r="C8" s="111" t="s">
        <v>308</v>
      </c>
      <c r="D8" s="111" t="s">
        <v>4</v>
      </c>
      <c r="E8" s="111" t="s">
        <v>5</v>
      </c>
      <c r="F8" s="111" t="s">
        <v>27</v>
      </c>
      <c r="G8" s="102" t="s">
        <v>29</v>
      </c>
      <c r="H8" s="111" t="s">
        <v>28</v>
      </c>
      <c r="I8" s="103" t="s">
        <v>32</v>
      </c>
      <c r="J8" s="3"/>
    </row>
    <row r="9" spans="1:12">
      <c r="A9" s="107">
        <v>1</v>
      </c>
      <c r="B9" s="148" t="s">
        <v>56</v>
      </c>
      <c r="C9" s="149"/>
      <c r="D9" s="108"/>
      <c r="E9" s="108"/>
      <c r="F9" s="108"/>
      <c r="G9" s="109"/>
      <c r="H9" s="108"/>
      <c r="I9" s="109"/>
      <c r="J9" s="3"/>
    </row>
    <row r="10" spans="1:12">
      <c r="A10" s="101" t="s">
        <v>208</v>
      </c>
      <c r="B10" s="146" t="s">
        <v>57</v>
      </c>
      <c r="C10" s="147"/>
      <c r="D10" s="104"/>
      <c r="E10" s="104"/>
      <c r="F10" s="104"/>
      <c r="G10" s="105"/>
      <c r="H10" s="104"/>
      <c r="I10" s="105"/>
      <c r="J10" s="3"/>
      <c r="K10" s="4"/>
      <c r="L10" s="4"/>
    </row>
    <row r="11" spans="1:12" ht="30">
      <c r="A11" s="5" t="s">
        <v>209</v>
      </c>
      <c r="B11" s="5" t="s">
        <v>58</v>
      </c>
      <c r="C11" s="6" t="s">
        <v>59</v>
      </c>
      <c r="D11" s="5" t="s">
        <v>24</v>
      </c>
      <c r="E11" s="5">
        <v>2.88</v>
      </c>
      <c r="F11" s="124">
        <v>470.99</v>
      </c>
      <c r="G11" s="124">
        <f>E11*F11</f>
        <v>1356.4512</v>
      </c>
      <c r="H11" s="124">
        <v>476.54</v>
      </c>
      <c r="I11" s="124">
        <f>E11*H11</f>
        <v>1372.4351999999999</v>
      </c>
      <c r="J11" s="3"/>
    </row>
    <row r="12" spans="1:12">
      <c r="A12" s="101" t="s">
        <v>210</v>
      </c>
      <c r="B12" s="146" t="s">
        <v>63</v>
      </c>
      <c r="C12" s="147"/>
      <c r="D12" s="104"/>
      <c r="E12" s="104"/>
      <c r="F12" s="104"/>
      <c r="G12" s="105"/>
      <c r="H12" s="104"/>
      <c r="I12" s="105"/>
      <c r="J12" s="3"/>
      <c r="K12" s="4"/>
      <c r="L12" s="4"/>
    </row>
    <row r="13" spans="1:12" s="96" customFormat="1" ht="30">
      <c r="A13" s="5" t="s">
        <v>211</v>
      </c>
      <c r="B13" s="5" t="s">
        <v>64</v>
      </c>
      <c r="C13" s="6" t="s">
        <v>65</v>
      </c>
      <c r="D13" s="5" t="s">
        <v>24</v>
      </c>
      <c r="E13" s="5">
        <v>70.02</v>
      </c>
      <c r="F13" s="124">
        <v>8.23</v>
      </c>
      <c r="G13" s="124">
        <f>E13*F13</f>
        <v>576.26459999999997</v>
      </c>
      <c r="H13" s="124">
        <v>9.15</v>
      </c>
      <c r="I13" s="124">
        <f>E13*H13</f>
        <v>640.68299999999999</v>
      </c>
      <c r="J13" s="95"/>
      <c r="K13" s="97"/>
      <c r="L13" s="97"/>
    </row>
    <row r="14" spans="1:12" s="96" customFormat="1">
      <c r="A14" s="5" t="s">
        <v>212</v>
      </c>
      <c r="B14" s="125" t="s">
        <v>68</v>
      </c>
      <c r="C14" s="6" t="s">
        <v>69</v>
      </c>
      <c r="D14" s="5" t="s">
        <v>24</v>
      </c>
      <c r="E14" s="5">
        <v>1117.57</v>
      </c>
      <c r="F14" s="124">
        <v>7.41</v>
      </c>
      <c r="G14" s="124">
        <f t="shared" ref="G14:G22" si="0">E14*F14</f>
        <v>8281.1936999999998</v>
      </c>
      <c r="H14" s="124">
        <v>8.2200000000000006</v>
      </c>
      <c r="I14" s="124">
        <f t="shared" ref="I14:I22" si="1">E14*H14</f>
        <v>9186.4254000000001</v>
      </c>
      <c r="J14" s="95"/>
      <c r="K14" s="97"/>
      <c r="L14" s="97"/>
    </row>
    <row r="15" spans="1:12" s="96" customFormat="1" ht="30">
      <c r="A15" s="5" t="s">
        <v>213</v>
      </c>
      <c r="B15" s="5" t="s">
        <v>70</v>
      </c>
      <c r="C15" s="6" t="s">
        <v>71</v>
      </c>
      <c r="D15" s="5" t="s">
        <v>24</v>
      </c>
      <c r="E15" s="5">
        <v>7.75</v>
      </c>
      <c r="F15" s="124">
        <v>2.56</v>
      </c>
      <c r="G15" s="124">
        <f t="shared" si="0"/>
        <v>19.84</v>
      </c>
      <c r="H15" s="124">
        <v>2.85</v>
      </c>
      <c r="I15" s="124">
        <f t="shared" si="1"/>
        <v>22.087500000000002</v>
      </c>
      <c r="J15" s="95"/>
      <c r="K15" s="97"/>
      <c r="L15" s="97"/>
    </row>
    <row r="16" spans="1:12" s="96" customFormat="1" ht="30">
      <c r="A16" s="5" t="s">
        <v>214</v>
      </c>
      <c r="B16" s="5" t="s">
        <v>74</v>
      </c>
      <c r="C16" s="6" t="s">
        <v>75</v>
      </c>
      <c r="D16" s="5" t="s">
        <v>24</v>
      </c>
      <c r="E16" s="5">
        <v>2.16</v>
      </c>
      <c r="F16" s="124">
        <v>9.17</v>
      </c>
      <c r="G16" s="124">
        <f t="shared" si="0"/>
        <v>19.807200000000002</v>
      </c>
      <c r="H16" s="124">
        <v>10.210000000000001</v>
      </c>
      <c r="I16" s="124">
        <f t="shared" si="1"/>
        <v>22.053600000000003</v>
      </c>
      <c r="J16" s="95"/>
      <c r="K16" s="97"/>
      <c r="L16" s="97"/>
    </row>
    <row r="17" spans="1:12" s="96" customFormat="1" ht="30">
      <c r="A17" s="5" t="s">
        <v>215</v>
      </c>
      <c r="B17" s="5" t="s">
        <v>78</v>
      </c>
      <c r="C17" s="6" t="s">
        <v>79</v>
      </c>
      <c r="D17" s="5" t="s">
        <v>80</v>
      </c>
      <c r="E17" s="5">
        <v>0.3</v>
      </c>
      <c r="F17" s="124">
        <v>66.12</v>
      </c>
      <c r="G17" s="124">
        <f t="shared" si="0"/>
        <v>19.836000000000002</v>
      </c>
      <c r="H17" s="124">
        <v>67.66</v>
      </c>
      <c r="I17" s="124">
        <f t="shared" si="1"/>
        <v>20.297999999999998</v>
      </c>
      <c r="J17" s="95"/>
      <c r="K17" s="97"/>
      <c r="L17" s="97"/>
    </row>
    <row r="18" spans="1:12" s="96" customFormat="1" ht="30">
      <c r="A18" s="5" t="s">
        <v>216</v>
      </c>
      <c r="B18" s="5" t="s">
        <v>83</v>
      </c>
      <c r="C18" s="6" t="s">
        <v>84</v>
      </c>
      <c r="D18" s="5" t="s">
        <v>24</v>
      </c>
      <c r="E18" s="5">
        <v>182.54</v>
      </c>
      <c r="F18" s="124">
        <v>4.47</v>
      </c>
      <c r="G18" s="124">
        <f t="shared" si="0"/>
        <v>815.95379999999989</v>
      </c>
      <c r="H18" s="124">
        <v>4.96</v>
      </c>
      <c r="I18" s="124">
        <f t="shared" si="1"/>
        <v>905.39839999999992</v>
      </c>
      <c r="J18" s="95"/>
      <c r="K18" s="97"/>
      <c r="L18" s="97"/>
    </row>
    <row r="19" spans="1:12" s="96" customFormat="1" ht="30">
      <c r="A19" s="5" t="s">
        <v>217</v>
      </c>
      <c r="B19" s="5" t="s">
        <v>87</v>
      </c>
      <c r="C19" s="6" t="s">
        <v>88</v>
      </c>
      <c r="D19" s="5" t="s">
        <v>24</v>
      </c>
      <c r="E19" s="5">
        <v>59.54</v>
      </c>
      <c r="F19" s="124">
        <v>9.65</v>
      </c>
      <c r="G19" s="124">
        <f t="shared" si="0"/>
        <v>574.56100000000004</v>
      </c>
      <c r="H19" s="124">
        <v>10.7</v>
      </c>
      <c r="I19" s="124">
        <f t="shared" si="1"/>
        <v>637.07799999999997</v>
      </c>
      <c r="J19" s="95"/>
      <c r="K19" s="97"/>
      <c r="L19" s="97"/>
    </row>
    <row r="20" spans="1:12" s="96" customFormat="1" ht="30">
      <c r="A20" s="5" t="s">
        <v>218</v>
      </c>
      <c r="B20" s="5" t="s">
        <v>91</v>
      </c>
      <c r="C20" s="6" t="s">
        <v>92</v>
      </c>
      <c r="D20" s="5" t="s">
        <v>24</v>
      </c>
      <c r="E20" s="5">
        <v>73.8</v>
      </c>
      <c r="F20" s="124">
        <v>40.33</v>
      </c>
      <c r="G20" s="124">
        <f t="shared" si="0"/>
        <v>2976.3539999999998</v>
      </c>
      <c r="H20" s="124">
        <v>42.74</v>
      </c>
      <c r="I20" s="124">
        <f t="shared" si="1"/>
        <v>3154.212</v>
      </c>
      <c r="J20" s="95"/>
      <c r="K20" s="97"/>
      <c r="L20" s="97"/>
    </row>
    <row r="21" spans="1:12" s="96" customFormat="1">
      <c r="A21" s="5" t="s">
        <v>219</v>
      </c>
      <c r="B21" s="125" t="s">
        <v>95</v>
      </c>
      <c r="C21" s="6" t="s">
        <v>96</v>
      </c>
      <c r="D21" s="5" t="s">
        <v>24</v>
      </c>
      <c r="E21" s="5">
        <v>123</v>
      </c>
      <c r="F21" s="124">
        <v>10.84</v>
      </c>
      <c r="G21" s="124">
        <f t="shared" si="0"/>
        <v>1333.32</v>
      </c>
      <c r="H21" s="124">
        <v>12.03</v>
      </c>
      <c r="I21" s="124">
        <f t="shared" si="1"/>
        <v>1479.6899999999998</v>
      </c>
      <c r="J21" s="95"/>
      <c r="K21" s="97"/>
      <c r="L21" s="97"/>
    </row>
    <row r="22" spans="1:12">
      <c r="A22" s="5" t="s">
        <v>220</v>
      </c>
      <c r="B22" s="125" t="s">
        <v>68</v>
      </c>
      <c r="C22" s="6" t="s">
        <v>97</v>
      </c>
      <c r="D22" s="5" t="s">
        <v>98</v>
      </c>
      <c r="E22" s="5">
        <v>12</v>
      </c>
      <c r="F22" s="124">
        <v>522.04999999999995</v>
      </c>
      <c r="G22" s="124">
        <f t="shared" si="0"/>
        <v>6264.5999999999995</v>
      </c>
      <c r="H22" s="124">
        <v>522.04999999999995</v>
      </c>
      <c r="I22" s="124">
        <f t="shared" si="1"/>
        <v>6264.5999999999995</v>
      </c>
      <c r="J22" s="3"/>
    </row>
    <row r="23" spans="1:12">
      <c r="A23" s="98"/>
      <c r="B23" s="99"/>
      <c r="C23" s="106" t="s">
        <v>7</v>
      </c>
      <c r="D23" s="99"/>
      <c r="E23" s="99"/>
      <c r="F23" s="99"/>
      <c r="G23" s="100">
        <f>SUM(G11:G22)</f>
        <v>22238.181499999995</v>
      </c>
      <c r="H23" s="98"/>
      <c r="I23" s="100">
        <f>SUM(I11:I22)</f>
        <v>23704.961099999997</v>
      </c>
      <c r="J23" s="3"/>
    </row>
    <row r="24" spans="1:12">
      <c r="A24" s="107">
        <v>2</v>
      </c>
      <c r="B24" s="148" t="s">
        <v>19</v>
      </c>
      <c r="C24" s="149"/>
      <c r="D24" s="108"/>
      <c r="E24" s="108"/>
      <c r="F24" s="108"/>
      <c r="G24" s="109"/>
      <c r="H24" s="108"/>
      <c r="I24" s="109"/>
      <c r="J24" s="3"/>
    </row>
    <row r="25" spans="1:12">
      <c r="A25" s="101" t="s">
        <v>8</v>
      </c>
      <c r="B25" s="146" t="s">
        <v>20</v>
      </c>
      <c r="C25" s="147"/>
      <c r="D25" s="104"/>
      <c r="E25" s="104"/>
      <c r="F25" s="104"/>
      <c r="G25" s="105"/>
      <c r="H25" s="104"/>
      <c r="I25" s="105"/>
      <c r="J25" s="3"/>
      <c r="K25" s="4"/>
      <c r="L25" s="4"/>
    </row>
    <row r="26" spans="1:12" ht="30">
      <c r="A26" s="5" t="s">
        <v>221</v>
      </c>
      <c r="B26" s="5" t="s">
        <v>99</v>
      </c>
      <c r="C26" s="6" t="s">
        <v>100</v>
      </c>
      <c r="D26" s="5" t="s">
        <v>24</v>
      </c>
      <c r="E26" s="5">
        <v>2600.14</v>
      </c>
      <c r="F26" s="124">
        <v>13.98</v>
      </c>
      <c r="G26" s="124">
        <f>E26*F26</f>
        <v>36349.957199999997</v>
      </c>
      <c r="H26" s="124">
        <v>14.76</v>
      </c>
      <c r="I26" s="124">
        <f>E26*H26</f>
        <v>38378.066399999996</v>
      </c>
      <c r="J26" s="3"/>
    </row>
    <row r="27" spans="1:12" ht="30">
      <c r="A27" s="5" t="s">
        <v>222</v>
      </c>
      <c r="B27" s="5">
        <v>88495</v>
      </c>
      <c r="C27" s="6" t="s">
        <v>103</v>
      </c>
      <c r="D27" s="5" t="s">
        <v>24</v>
      </c>
      <c r="E27" s="5">
        <v>734.53000000000009</v>
      </c>
      <c r="F27" s="124">
        <v>13.93</v>
      </c>
      <c r="G27" s="124">
        <f t="shared" ref="G27:G32" si="2">E27*F27</f>
        <v>10232.002900000001</v>
      </c>
      <c r="H27" s="124">
        <v>15.11</v>
      </c>
      <c r="I27" s="124">
        <f t="shared" ref="I27:I32" si="3">E27*H27</f>
        <v>11098.748300000001</v>
      </c>
      <c r="J27" s="3"/>
    </row>
    <row r="28" spans="1:12">
      <c r="A28" s="5" t="s">
        <v>223</v>
      </c>
      <c r="B28" s="5">
        <v>88485</v>
      </c>
      <c r="C28" s="6" t="s">
        <v>106</v>
      </c>
      <c r="D28" s="5" t="s">
        <v>24</v>
      </c>
      <c r="E28" s="5">
        <v>2550.75</v>
      </c>
      <c r="F28" s="124">
        <v>4.95</v>
      </c>
      <c r="G28" s="124">
        <f t="shared" si="2"/>
        <v>12626.2125</v>
      </c>
      <c r="H28" s="124">
        <v>5.26</v>
      </c>
      <c r="I28" s="124">
        <f t="shared" si="3"/>
        <v>13416.945</v>
      </c>
      <c r="J28" s="3"/>
    </row>
    <row r="29" spans="1:12" ht="45">
      <c r="A29" s="5" t="s">
        <v>224</v>
      </c>
      <c r="B29" s="5" t="s">
        <v>109</v>
      </c>
      <c r="C29" s="6" t="s">
        <v>110</v>
      </c>
      <c r="D29" s="5" t="s">
        <v>24</v>
      </c>
      <c r="E29" s="5">
        <v>100.57000000000001</v>
      </c>
      <c r="F29" s="124">
        <v>40.43</v>
      </c>
      <c r="G29" s="124">
        <f t="shared" si="2"/>
        <v>4066.0451000000003</v>
      </c>
      <c r="H29" s="124">
        <v>43.43</v>
      </c>
      <c r="I29" s="124">
        <f t="shared" si="3"/>
        <v>4367.7551000000003</v>
      </c>
      <c r="J29" s="3"/>
    </row>
    <row r="30" spans="1:12">
      <c r="A30" s="5" t="s">
        <v>225</v>
      </c>
      <c r="B30" s="125" t="s">
        <v>113</v>
      </c>
      <c r="C30" s="6" t="s">
        <v>114</v>
      </c>
      <c r="D30" s="5" t="s">
        <v>24</v>
      </c>
      <c r="E30" s="5">
        <v>100.57000000000001</v>
      </c>
      <c r="F30" s="124">
        <v>48.94</v>
      </c>
      <c r="G30" s="124">
        <f t="shared" si="2"/>
        <v>4921.8958000000002</v>
      </c>
      <c r="H30" s="124">
        <v>52.57</v>
      </c>
      <c r="I30" s="124">
        <f t="shared" si="3"/>
        <v>5286.9649000000009</v>
      </c>
      <c r="J30" s="3"/>
    </row>
    <row r="31" spans="1:12" ht="30">
      <c r="A31" s="5" t="s">
        <v>226</v>
      </c>
      <c r="B31" s="5" t="s">
        <v>291</v>
      </c>
      <c r="C31" s="6" t="s">
        <v>292</v>
      </c>
      <c r="D31" s="5" t="s">
        <v>24</v>
      </c>
      <c r="E31" s="5">
        <v>6.9</v>
      </c>
      <c r="F31" s="124">
        <v>9.7799999999999994</v>
      </c>
      <c r="G31" s="124">
        <f t="shared" si="2"/>
        <v>67.481999999999999</v>
      </c>
      <c r="H31" s="124">
        <v>10.5</v>
      </c>
      <c r="I31" s="124">
        <f t="shared" si="3"/>
        <v>72.45</v>
      </c>
      <c r="J31" s="3"/>
    </row>
    <row r="32" spans="1:12" ht="30">
      <c r="A32" s="5" t="s">
        <v>290</v>
      </c>
      <c r="B32" s="5">
        <v>96370</v>
      </c>
      <c r="C32" s="6" t="s">
        <v>115</v>
      </c>
      <c r="D32" s="5" t="s">
        <v>24</v>
      </c>
      <c r="E32" s="5">
        <v>2.1900000000000004</v>
      </c>
      <c r="F32" s="124">
        <v>66.52</v>
      </c>
      <c r="G32" s="124">
        <f t="shared" si="2"/>
        <v>145.67880000000002</v>
      </c>
      <c r="H32" s="124">
        <v>68.42</v>
      </c>
      <c r="I32" s="124">
        <f t="shared" si="3"/>
        <v>149.83980000000003</v>
      </c>
      <c r="J32" s="3"/>
    </row>
    <row r="33" spans="1:12">
      <c r="A33" s="101" t="s">
        <v>13</v>
      </c>
      <c r="B33" s="146" t="s">
        <v>21</v>
      </c>
      <c r="C33" s="147" t="s">
        <v>21</v>
      </c>
      <c r="D33" s="104"/>
      <c r="E33" s="104"/>
      <c r="F33" s="104"/>
      <c r="G33" s="105"/>
      <c r="H33" s="104"/>
      <c r="I33" s="105"/>
      <c r="J33" s="3"/>
      <c r="K33" s="4"/>
      <c r="L33" s="4"/>
    </row>
    <row r="34" spans="1:12" ht="30">
      <c r="A34" s="5" t="s">
        <v>227</v>
      </c>
      <c r="B34" s="5">
        <v>95623</v>
      </c>
      <c r="C34" s="6" t="s">
        <v>118</v>
      </c>
      <c r="D34" s="5" t="s">
        <v>24</v>
      </c>
      <c r="E34" s="5">
        <v>1045.1799999999998</v>
      </c>
      <c r="F34" s="124">
        <v>11.25</v>
      </c>
      <c r="G34" s="124">
        <f>E34*F34</f>
        <v>11758.274999999998</v>
      </c>
      <c r="H34" s="124">
        <v>11.83</v>
      </c>
      <c r="I34" s="124">
        <f>E34*H34</f>
        <v>12364.479399999998</v>
      </c>
      <c r="J34" s="3"/>
    </row>
    <row r="35" spans="1:12" ht="30">
      <c r="A35" s="5" t="s">
        <v>228</v>
      </c>
      <c r="B35" s="5">
        <v>88412</v>
      </c>
      <c r="C35" s="6" t="s">
        <v>121</v>
      </c>
      <c r="D35" s="5" t="s">
        <v>24</v>
      </c>
      <c r="E35" s="5">
        <v>1045.1799999999998</v>
      </c>
      <c r="F35" s="124">
        <v>4.74</v>
      </c>
      <c r="G35" s="124">
        <f t="shared" ref="G35:G37" si="4">E35*F35</f>
        <v>4954.1531999999997</v>
      </c>
      <c r="H35" s="124">
        <v>4.88</v>
      </c>
      <c r="I35" s="124">
        <f t="shared" ref="I35:I37" si="5">E35*H35</f>
        <v>5100.4783999999991</v>
      </c>
      <c r="J35" s="3"/>
    </row>
    <row r="36" spans="1:12" ht="45">
      <c r="A36" s="5" t="s">
        <v>229</v>
      </c>
      <c r="B36" s="5">
        <v>87794</v>
      </c>
      <c r="C36" s="6" t="s">
        <v>124</v>
      </c>
      <c r="D36" s="5" t="s">
        <v>24</v>
      </c>
      <c r="E36" s="5">
        <v>7.69</v>
      </c>
      <c r="F36" s="124">
        <v>49.69</v>
      </c>
      <c r="G36" s="124">
        <f t="shared" si="4"/>
        <v>382.11610000000002</v>
      </c>
      <c r="H36" s="124">
        <v>53.43</v>
      </c>
      <c r="I36" s="124">
        <f t="shared" si="5"/>
        <v>410.87670000000003</v>
      </c>
      <c r="J36" s="3"/>
    </row>
    <row r="37" spans="1:12">
      <c r="A37" s="5" t="s">
        <v>230</v>
      </c>
      <c r="B37" s="125" t="s">
        <v>127</v>
      </c>
      <c r="C37" s="6" t="s">
        <v>128</v>
      </c>
      <c r="D37" s="5" t="s">
        <v>129</v>
      </c>
      <c r="E37" s="5">
        <v>1</v>
      </c>
      <c r="F37" s="124">
        <v>3343.32</v>
      </c>
      <c r="G37" s="124">
        <f t="shared" si="4"/>
        <v>3343.32</v>
      </c>
      <c r="H37" s="124">
        <v>3515.69</v>
      </c>
      <c r="I37" s="124">
        <f t="shared" si="5"/>
        <v>3515.69</v>
      </c>
      <c r="J37" s="3"/>
    </row>
    <row r="38" spans="1:12">
      <c r="A38" s="101" t="s">
        <v>14</v>
      </c>
      <c r="B38" s="146" t="s">
        <v>22</v>
      </c>
      <c r="C38" s="147" t="s">
        <v>22</v>
      </c>
      <c r="D38" s="104"/>
      <c r="E38" s="104"/>
      <c r="F38" s="104"/>
      <c r="G38" s="105"/>
      <c r="H38" s="104"/>
      <c r="I38" s="105"/>
      <c r="J38" s="3"/>
      <c r="K38" s="4"/>
      <c r="L38" s="4"/>
    </row>
    <row r="39" spans="1:12" ht="30">
      <c r="A39" s="5" t="s">
        <v>231</v>
      </c>
      <c r="B39" s="5" t="s">
        <v>130</v>
      </c>
      <c r="C39" s="6" t="s">
        <v>131</v>
      </c>
      <c r="D39" s="5" t="s">
        <v>24</v>
      </c>
      <c r="E39" s="5">
        <v>1627</v>
      </c>
      <c r="F39" s="124">
        <v>16.77</v>
      </c>
      <c r="G39" s="124">
        <f>E39*F39</f>
        <v>27284.79</v>
      </c>
      <c r="H39" s="124">
        <v>17.84</v>
      </c>
      <c r="I39" s="124">
        <f>E39*H39</f>
        <v>29025.68</v>
      </c>
      <c r="J39" s="3"/>
    </row>
    <row r="40" spans="1:12" ht="30">
      <c r="A40" s="5" t="s">
        <v>232</v>
      </c>
      <c r="B40" s="5" t="s">
        <v>134</v>
      </c>
      <c r="C40" s="6" t="s">
        <v>135</v>
      </c>
      <c r="D40" s="5" t="s">
        <v>24</v>
      </c>
      <c r="E40" s="5">
        <v>204.13</v>
      </c>
      <c r="F40" s="124">
        <v>25.21</v>
      </c>
      <c r="G40" s="124">
        <f t="shared" ref="G40:G44" si="6">E40*F40</f>
        <v>5146.1172999999999</v>
      </c>
      <c r="H40" s="124">
        <v>27.62</v>
      </c>
      <c r="I40" s="124">
        <f t="shared" ref="I40:I44" si="7">E40*H40</f>
        <v>5638.0706</v>
      </c>
      <c r="J40" s="3"/>
    </row>
    <row r="41" spans="1:12">
      <c r="A41" s="5" t="s">
        <v>233</v>
      </c>
      <c r="B41" s="5" t="s">
        <v>138</v>
      </c>
      <c r="C41" s="6" t="s">
        <v>139</v>
      </c>
      <c r="D41" s="5" t="s">
        <v>24</v>
      </c>
      <c r="E41" s="5">
        <v>1434.8200000000002</v>
      </c>
      <c r="F41" s="124">
        <v>6.08</v>
      </c>
      <c r="G41" s="124">
        <f t="shared" si="6"/>
        <v>8723.7056000000011</v>
      </c>
      <c r="H41" s="124">
        <v>6.52</v>
      </c>
      <c r="I41" s="124">
        <f t="shared" si="7"/>
        <v>9355.0264000000006</v>
      </c>
      <c r="J41" s="3"/>
    </row>
    <row r="42" spans="1:12" ht="30">
      <c r="A42" s="5" t="s">
        <v>234</v>
      </c>
      <c r="B42" s="5" t="s">
        <v>273</v>
      </c>
      <c r="C42" s="6" t="s">
        <v>274</v>
      </c>
      <c r="D42" s="5" t="s">
        <v>24</v>
      </c>
      <c r="E42" s="5">
        <v>5</v>
      </c>
      <c r="F42" s="124">
        <v>18.5</v>
      </c>
      <c r="G42" s="124">
        <f t="shared" si="6"/>
        <v>92.5</v>
      </c>
      <c r="H42" s="124">
        <v>19.32</v>
      </c>
      <c r="I42" s="124">
        <f t="shared" si="7"/>
        <v>96.6</v>
      </c>
      <c r="J42" s="3"/>
    </row>
    <row r="43" spans="1:12" ht="30">
      <c r="A43" s="5" t="s">
        <v>235</v>
      </c>
      <c r="B43" s="5" t="s">
        <v>142</v>
      </c>
      <c r="C43" s="6" t="s">
        <v>143</v>
      </c>
      <c r="D43" s="5" t="s">
        <v>24</v>
      </c>
      <c r="E43" s="5">
        <v>107.27000000000001</v>
      </c>
      <c r="F43" s="124">
        <v>83.04</v>
      </c>
      <c r="G43" s="124">
        <f t="shared" si="6"/>
        <v>8907.7008000000023</v>
      </c>
      <c r="H43" s="124">
        <v>86.61</v>
      </c>
      <c r="I43" s="124">
        <f t="shared" si="7"/>
        <v>9290.654700000001</v>
      </c>
      <c r="J43" s="3"/>
    </row>
    <row r="44" spans="1:12" ht="45">
      <c r="A44" s="5" t="s">
        <v>272</v>
      </c>
      <c r="B44" s="5">
        <v>39512</v>
      </c>
      <c r="C44" s="6" t="s">
        <v>146</v>
      </c>
      <c r="D44" s="5" t="s">
        <v>24</v>
      </c>
      <c r="E44" s="5">
        <v>154.24</v>
      </c>
      <c r="F44" s="124">
        <v>116.19</v>
      </c>
      <c r="G44" s="124">
        <f t="shared" si="6"/>
        <v>17921.1456</v>
      </c>
      <c r="H44" s="124">
        <v>116.19</v>
      </c>
      <c r="I44" s="124">
        <f t="shared" si="7"/>
        <v>17921.1456</v>
      </c>
      <c r="J44" s="3"/>
    </row>
    <row r="45" spans="1:12">
      <c r="A45" s="101" t="s">
        <v>15</v>
      </c>
      <c r="B45" s="146" t="s">
        <v>23</v>
      </c>
      <c r="C45" s="147" t="s">
        <v>23</v>
      </c>
      <c r="D45" s="104"/>
      <c r="E45" s="104"/>
      <c r="F45" s="104"/>
      <c r="G45" s="105"/>
      <c r="H45" s="104"/>
      <c r="I45" s="105"/>
      <c r="J45" s="3"/>
      <c r="K45" s="4"/>
      <c r="L45" s="4"/>
    </row>
    <row r="46" spans="1:12" ht="30">
      <c r="A46" s="5" t="s">
        <v>237</v>
      </c>
      <c r="B46" s="125" t="s">
        <v>68</v>
      </c>
      <c r="C46" s="6" t="s">
        <v>148</v>
      </c>
      <c r="D46" s="5" t="s">
        <v>24</v>
      </c>
      <c r="E46" s="5">
        <v>275.61</v>
      </c>
      <c r="F46" s="124">
        <v>30.82</v>
      </c>
      <c r="G46" s="124">
        <f>E46*F46</f>
        <v>8494.3001999999997</v>
      </c>
      <c r="H46" s="124">
        <v>34.21</v>
      </c>
      <c r="I46" s="124">
        <f>E46*H46</f>
        <v>9428.6181000000015</v>
      </c>
      <c r="J46" s="3"/>
    </row>
    <row r="47" spans="1:12" ht="30">
      <c r="A47" s="5" t="s">
        <v>238</v>
      </c>
      <c r="B47" s="5" t="s">
        <v>149</v>
      </c>
      <c r="C47" s="6" t="s">
        <v>150</v>
      </c>
      <c r="D47" s="5" t="s">
        <v>98</v>
      </c>
      <c r="E47" s="5">
        <v>18</v>
      </c>
      <c r="F47" s="124">
        <v>10.74</v>
      </c>
      <c r="G47" s="124">
        <f t="shared" ref="G47:G55" si="8">E47*F47</f>
        <v>193.32</v>
      </c>
      <c r="H47" s="124">
        <v>11.39</v>
      </c>
      <c r="I47" s="124">
        <f t="shared" ref="I47:I55" si="9">E47*H47</f>
        <v>205.02</v>
      </c>
      <c r="J47" s="3"/>
    </row>
    <row r="48" spans="1:12" ht="30">
      <c r="A48" s="5" t="s">
        <v>239</v>
      </c>
      <c r="B48" s="5" t="s">
        <v>153</v>
      </c>
      <c r="C48" s="6" t="s">
        <v>154</v>
      </c>
      <c r="D48" s="5" t="s">
        <v>24</v>
      </c>
      <c r="E48" s="5">
        <v>109.25</v>
      </c>
      <c r="F48" s="124">
        <v>153.93</v>
      </c>
      <c r="G48" s="124">
        <f t="shared" si="8"/>
        <v>16816.852500000001</v>
      </c>
      <c r="H48" s="124">
        <v>156.72999999999999</v>
      </c>
      <c r="I48" s="124">
        <f t="shared" si="9"/>
        <v>17122.752499999999</v>
      </c>
      <c r="J48" s="3"/>
    </row>
    <row r="49" spans="1:12" ht="30">
      <c r="A49" s="5" t="s">
        <v>240</v>
      </c>
      <c r="B49" s="5" t="s">
        <v>157</v>
      </c>
      <c r="C49" s="6" t="s">
        <v>158</v>
      </c>
      <c r="D49" s="5" t="s">
        <v>24</v>
      </c>
      <c r="E49" s="5">
        <v>1010.4799999999999</v>
      </c>
      <c r="F49" s="124">
        <v>230.7</v>
      </c>
      <c r="G49" s="124">
        <f t="shared" si="8"/>
        <v>233117.73599999998</v>
      </c>
      <c r="H49" s="124">
        <v>231.64</v>
      </c>
      <c r="I49" s="124">
        <f t="shared" si="9"/>
        <v>234067.58719999995</v>
      </c>
      <c r="J49" s="3"/>
    </row>
    <row r="50" spans="1:12">
      <c r="A50" s="5" t="s">
        <v>241</v>
      </c>
      <c r="B50" s="125" t="s">
        <v>68</v>
      </c>
      <c r="C50" s="6" t="s">
        <v>161</v>
      </c>
      <c r="D50" s="5" t="s">
        <v>162</v>
      </c>
      <c r="E50" s="5">
        <v>0.7</v>
      </c>
      <c r="F50" s="124">
        <v>54.73</v>
      </c>
      <c r="G50" s="124">
        <f t="shared" si="8"/>
        <v>38.310999999999993</v>
      </c>
      <c r="H50" s="124">
        <v>55.91</v>
      </c>
      <c r="I50" s="124">
        <f t="shared" si="9"/>
        <v>39.136999999999993</v>
      </c>
      <c r="J50" s="3"/>
    </row>
    <row r="51" spans="1:12">
      <c r="A51" s="5" t="s">
        <v>242</v>
      </c>
      <c r="B51" s="5" t="s">
        <v>163</v>
      </c>
      <c r="C51" s="6" t="s">
        <v>164</v>
      </c>
      <c r="D51" s="5" t="s">
        <v>162</v>
      </c>
      <c r="E51" s="5">
        <v>7.92</v>
      </c>
      <c r="F51" s="124">
        <v>114.99</v>
      </c>
      <c r="G51" s="124">
        <f t="shared" si="8"/>
        <v>910.72079999999994</v>
      </c>
      <c r="H51" s="124">
        <v>117.46</v>
      </c>
      <c r="I51" s="124">
        <f t="shared" si="9"/>
        <v>930.28319999999997</v>
      </c>
      <c r="J51" s="3"/>
    </row>
    <row r="52" spans="1:12" ht="30">
      <c r="A52" s="5" t="s">
        <v>243</v>
      </c>
      <c r="B52" s="5" t="s">
        <v>167</v>
      </c>
      <c r="C52" s="6" t="s">
        <v>168</v>
      </c>
      <c r="D52" s="5" t="s">
        <v>24</v>
      </c>
      <c r="E52" s="5">
        <v>174.32999999999998</v>
      </c>
      <c r="F52" s="124">
        <v>76.150000000000006</v>
      </c>
      <c r="G52" s="124">
        <f t="shared" si="8"/>
        <v>13275.229499999999</v>
      </c>
      <c r="H52" s="124">
        <v>77.53</v>
      </c>
      <c r="I52" s="124">
        <f t="shared" si="9"/>
        <v>13515.804899999999</v>
      </c>
      <c r="J52" s="3"/>
    </row>
    <row r="53" spans="1:12">
      <c r="A53" s="5" t="s">
        <v>244</v>
      </c>
      <c r="B53" s="5" t="s">
        <v>171</v>
      </c>
      <c r="C53" s="6" t="s">
        <v>172</v>
      </c>
      <c r="D53" s="5" t="s">
        <v>24</v>
      </c>
      <c r="E53" s="5">
        <v>174.32999999999998</v>
      </c>
      <c r="F53" s="124">
        <v>4.4400000000000004</v>
      </c>
      <c r="G53" s="124">
        <f t="shared" si="8"/>
        <v>774.02520000000004</v>
      </c>
      <c r="H53" s="124">
        <v>4.9400000000000004</v>
      </c>
      <c r="I53" s="124">
        <f t="shared" si="9"/>
        <v>861.1902</v>
      </c>
      <c r="J53" s="3"/>
    </row>
    <row r="54" spans="1:12">
      <c r="A54" s="5" t="s">
        <v>245</v>
      </c>
      <c r="B54" s="5" t="s">
        <v>175</v>
      </c>
      <c r="C54" s="6" t="s">
        <v>176</v>
      </c>
      <c r="D54" s="5" t="s">
        <v>24</v>
      </c>
      <c r="E54" s="5">
        <v>6.69</v>
      </c>
      <c r="F54" s="124">
        <v>2.78</v>
      </c>
      <c r="G54" s="124">
        <f t="shared" si="8"/>
        <v>18.598199999999999</v>
      </c>
      <c r="H54" s="124">
        <v>3.07</v>
      </c>
      <c r="I54" s="124">
        <f t="shared" si="9"/>
        <v>20.5383</v>
      </c>
      <c r="J54" s="3"/>
    </row>
    <row r="55" spans="1:12">
      <c r="A55" s="5" t="s">
        <v>246</v>
      </c>
      <c r="B55" s="5" t="s">
        <v>179</v>
      </c>
      <c r="C55" s="6" t="s">
        <v>180</v>
      </c>
      <c r="D55" s="5" t="s">
        <v>162</v>
      </c>
      <c r="E55" s="5">
        <v>697.3900000000001</v>
      </c>
      <c r="F55" s="124">
        <v>34.51</v>
      </c>
      <c r="G55" s="124">
        <f t="shared" si="8"/>
        <v>24066.928900000003</v>
      </c>
      <c r="H55" s="124">
        <v>36.409999999999997</v>
      </c>
      <c r="I55" s="124">
        <f t="shared" si="9"/>
        <v>25391.9699</v>
      </c>
      <c r="J55" s="3"/>
    </row>
    <row r="56" spans="1:12">
      <c r="A56" s="101" t="s">
        <v>16</v>
      </c>
      <c r="B56" s="146" t="s">
        <v>277</v>
      </c>
      <c r="C56" s="147" t="s">
        <v>23</v>
      </c>
      <c r="D56" s="104"/>
      <c r="E56" s="104"/>
      <c r="F56" s="104"/>
      <c r="G56" s="105"/>
      <c r="H56" s="104"/>
      <c r="I56" s="105"/>
      <c r="J56" s="3"/>
      <c r="K56" s="4"/>
      <c r="L56" s="4"/>
    </row>
    <row r="57" spans="1:12" ht="30">
      <c r="A57" s="5" t="s">
        <v>286</v>
      </c>
      <c r="B57" s="5" t="s">
        <v>278</v>
      </c>
      <c r="C57" s="6" t="s">
        <v>279</v>
      </c>
      <c r="D57" s="5" t="s">
        <v>24</v>
      </c>
      <c r="E57" s="5">
        <v>446.48</v>
      </c>
      <c r="F57" s="124">
        <v>10.45</v>
      </c>
      <c r="G57" s="124">
        <f>E57*F57</f>
        <v>4665.7159999999994</v>
      </c>
      <c r="H57" s="124">
        <v>11.23</v>
      </c>
      <c r="I57" s="124">
        <f>E57*H57</f>
        <v>5013.9704000000002</v>
      </c>
      <c r="J57" s="3"/>
    </row>
    <row r="58" spans="1:12" ht="30">
      <c r="A58" s="5" t="s">
        <v>287</v>
      </c>
      <c r="B58" s="5" t="s">
        <v>280</v>
      </c>
      <c r="C58" s="6" t="s">
        <v>281</v>
      </c>
      <c r="D58" s="5" t="s">
        <v>24</v>
      </c>
      <c r="E58" s="5">
        <v>108.51</v>
      </c>
      <c r="F58" s="124">
        <v>13.24</v>
      </c>
      <c r="G58" s="124">
        <f t="shared" ref="G58:G63" si="10">E58*F58</f>
        <v>1436.6724000000002</v>
      </c>
      <c r="H58" s="124">
        <v>14.31</v>
      </c>
      <c r="I58" s="124">
        <f t="shared" ref="I58:I63" si="11">E58*H58</f>
        <v>1552.7781000000002</v>
      </c>
      <c r="J58" s="3"/>
    </row>
    <row r="59" spans="1:12">
      <c r="A59" s="5" t="s">
        <v>288</v>
      </c>
      <c r="B59" s="5">
        <v>88485</v>
      </c>
      <c r="C59" s="6" t="s">
        <v>106</v>
      </c>
      <c r="D59" s="5" t="s">
        <v>24</v>
      </c>
      <c r="E59" s="5">
        <v>446.48</v>
      </c>
      <c r="F59" s="124">
        <v>4.95</v>
      </c>
      <c r="G59" s="124">
        <f t="shared" si="10"/>
        <v>2210.076</v>
      </c>
      <c r="H59" s="124">
        <v>5.26</v>
      </c>
      <c r="I59" s="124">
        <f t="shared" si="11"/>
        <v>2348.4848000000002</v>
      </c>
      <c r="J59" s="3"/>
    </row>
    <row r="60" spans="1:12">
      <c r="A60" s="5" t="s">
        <v>289</v>
      </c>
      <c r="B60" s="5" t="s">
        <v>138</v>
      </c>
      <c r="C60" s="6" t="s">
        <v>139</v>
      </c>
      <c r="D60" s="5" t="s">
        <v>24</v>
      </c>
      <c r="E60" s="5">
        <v>108.51</v>
      </c>
      <c r="F60" s="124">
        <v>6.08</v>
      </c>
      <c r="G60" s="124">
        <f t="shared" si="10"/>
        <v>659.74080000000004</v>
      </c>
      <c r="H60" s="124">
        <v>6.52</v>
      </c>
      <c r="I60" s="124">
        <f t="shared" si="11"/>
        <v>707.48519999999996</v>
      </c>
      <c r="J60" s="3"/>
    </row>
    <row r="61" spans="1:12" ht="30">
      <c r="A61" s="5" t="s">
        <v>295</v>
      </c>
      <c r="B61" s="5" t="s">
        <v>134</v>
      </c>
      <c r="C61" s="6" t="s">
        <v>135</v>
      </c>
      <c r="D61" s="5" t="s">
        <v>24</v>
      </c>
      <c r="E61" s="5">
        <v>11.3</v>
      </c>
      <c r="F61" s="124">
        <v>25.21</v>
      </c>
      <c r="G61" s="124">
        <f t="shared" si="10"/>
        <v>284.87300000000005</v>
      </c>
      <c r="H61" s="124">
        <v>27.62</v>
      </c>
      <c r="I61" s="124">
        <f t="shared" si="11"/>
        <v>312.10600000000005</v>
      </c>
      <c r="J61" s="3"/>
    </row>
    <row r="62" spans="1:12">
      <c r="A62" s="5" t="s">
        <v>296</v>
      </c>
      <c r="B62" s="5" t="s">
        <v>297</v>
      </c>
      <c r="C62" s="6" t="s">
        <v>298</v>
      </c>
      <c r="D62" s="5" t="s">
        <v>24</v>
      </c>
      <c r="E62" s="5">
        <v>81.599999999999994</v>
      </c>
      <c r="F62" s="124">
        <v>11.64</v>
      </c>
      <c r="G62" s="124">
        <f t="shared" si="10"/>
        <v>949.82399999999996</v>
      </c>
      <c r="H62" s="124">
        <v>12.78</v>
      </c>
      <c r="I62" s="124">
        <f t="shared" si="11"/>
        <v>1042.848</v>
      </c>
      <c r="J62" s="3"/>
    </row>
    <row r="63" spans="1:12" ht="30">
      <c r="A63" s="5" t="s">
        <v>305</v>
      </c>
      <c r="B63" s="5" t="s">
        <v>299</v>
      </c>
      <c r="C63" s="6" t="s">
        <v>309</v>
      </c>
      <c r="D63" s="5" t="s">
        <v>24</v>
      </c>
      <c r="E63" s="5">
        <v>81.599999999999994</v>
      </c>
      <c r="F63" s="124">
        <v>17.68</v>
      </c>
      <c r="G63" s="124">
        <f t="shared" si="10"/>
        <v>1442.6879999999999</v>
      </c>
      <c r="H63" s="124">
        <v>19.420000000000002</v>
      </c>
      <c r="I63" s="124">
        <f t="shared" si="11"/>
        <v>1584.672</v>
      </c>
      <c r="J63" s="3"/>
    </row>
    <row r="64" spans="1:12">
      <c r="A64" s="98"/>
      <c r="B64" s="99"/>
      <c r="C64" s="106" t="s">
        <v>17</v>
      </c>
      <c r="D64" s="99"/>
      <c r="E64" s="99"/>
      <c r="F64" s="99"/>
      <c r="G64" s="100">
        <f>SUM(G26:G63)</f>
        <v>466278.7104000001</v>
      </c>
      <c r="H64" s="98"/>
      <c r="I64" s="100">
        <f>SUM(I26:I63)</f>
        <v>479634.71710000001</v>
      </c>
      <c r="J64" s="3"/>
    </row>
    <row r="65" spans="1:12">
      <c r="A65" s="107">
        <v>3</v>
      </c>
      <c r="B65" s="148" t="s">
        <v>306</v>
      </c>
      <c r="C65" s="149"/>
      <c r="D65" s="108"/>
      <c r="E65" s="108"/>
      <c r="F65" s="108"/>
      <c r="G65" s="109"/>
      <c r="H65" s="108"/>
      <c r="I65" s="109"/>
      <c r="J65" s="3"/>
    </row>
    <row r="66" spans="1:12" ht="30">
      <c r="A66" s="5" t="s">
        <v>9</v>
      </c>
      <c r="B66" s="5" t="s">
        <v>183</v>
      </c>
      <c r="C66" s="6" t="s">
        <v>184</v>
      </c>
      <c r="D66" s="5" t="s">
        <v>24</v>
      </c>
      <c r="E66" s="5">
        <v>76.37</v>
      </c>
      <c r="F66" s="124">
        <v>125.58</v>
      </c>
      <c r="G66" s="124">
        <f>E66*F66</f>
        <v>9590.5446000000011</v>
      </c>
      <c r="H66" s="124">
        <v>129.99</v>
      </c>
      <c r="I66" s="124">
        <f>E66*H66</f>
        <v>9927.3363000000008</v>
      </c>
      <c r="J66" s="3"/>
    </row>
    <row r="67" spans="1:12">
      <c r="A67" s="5" t="s">
        <v>10</v>
      </c>
      <c r="B67" s="5" t="s">
        <v>187</v>
      </c>
      <c r="C67" s="6" t="s">
        <v>188</v>
      </c>
      <c r="D67" s="5" t="s">
        <v>24</v>
      </c>
      <c r="E67" s="5">
        <v>182.99</v>
      </c>
      <c r="F67" s="124">
        <v>54.99</v>
      </c>
      <c r="G67" s="124">
        <f t="shared" ref="G67:G71" si="12">E67*F67</f>
        <v>10062.6201</v>
      </c>
      <c r="H67" s="124">
        <v>57.02</v>
      </c>
      <c r="I67" s="124">
        <f t="shared" ref="I67:I71" si="13">E67*H67</f>
        <v>10434.089800000002</v>
      </c>
      <c r="J67" s="3"/>
    </row>
    <row r="68" spans="1:12" ht="30">
      <c r="A68" s="5" t="s">
        <v>11</v>
      </c>
      <c r="B68" s="5" t="s">
        <v>191</v>
      </c>
      <c r="C68" s="6" t="s">
        <v>192</v>
      </c>
      <c r="D68" s="5" t="s">
        <v>24</v>
      </c>
      <c r="E68" s="5">
        <v>28</v>
      </c>
      <c r="F68" s="124">
        <v>22.31</v>
      </c>
      <c r="G68" s="124">
        <f t="shared" si="12"/>
        <v>624.67999999999995</v>
      </c>
      <c r="H68" s="124">
        <v>22.6</v>
      </c>
      <c r="I68" s="124">
        <f t="shared" si="13"/>
        <v>632.80000000000007</v>
      </c>
      <c r="J68" s="3"/>
    </row>
    <row r="69" spans="1:12" ht="45">
      <c r="A69" s="5" t="s">
        <v>12</v>
      </c>
      <c r="B69" s="5" t="s">
        <v>195</v>
      </c>
      <c r="C69" s="6" t="s">
        <v>196</v>
      </c>
      <c r="D69" s="5" t="s">
        <v>24</v>
      </c>
      <c r="E69" s="5">
        <v>167.54</v>
      </c>
      <c r="F69" s="124">
        <v>30.16</v>
      </c>
      <c r="G69" s="124">
        <f t="shared" si="12"/>
        <v>5053.0064000000002</v>
      </c>
      <c r="H69" s="124">
        <v>30.86</v>
      </c>
      <c r="I69" s="124">
        <f t="shared" si="13"/>
        <v>5170.2843999999996</v>
      </c>
      <c r="J69" s="3"/>
    </row>
    <row r="70" spans="1:12" ht="30">
      <c r="A70" s="5" t="s">
        <v>248</v>
      </c>
      <c r="B70" s="5" t="s">
        <v>199</v>
      </c>
      <c r="C70" s="6" t="s">
        <v>200</v>
      </c>
      <c r="D70" s="5" t="s">
        <v>24</v>
      </c>
      <c r="E70" s="5">
        <v>167.54</v>
      </c>
      <c r="F70" s="124">
        <v>71.38</v>
      </c>
      <c r="G70" s="124">
        <f t="shared" si="12"/>
        <v>11959.005199999998</v>
      </c>
      <c r="H70" s="124">
        <v>72.040000000000006</v>
      </c>
      <c r="I70" s="124">
        <f t="shared" si="13"/>
        <v>12069.581600000001</v>
      </c>
      <c r="J70" s="3"/>
    </row>
    <row r="71" spans="1:12" ht="30">
      <c r="A71" s="5" t="s">
        <v>247</v>
      </c>
      <c r="B71" s="5" t="s">
        <v>203</v>
      </c>
      <c r="C71" s="6" t="s">
        <v>204</v>
      </c>
      <c r="D71" s="5" t="s">
        <v>162</v>
      </c>
      <c r="E71" s="5">
        <v>76.34</v>
      </c>
      <c r="F71" s="124">
        <v>53.15</v>
      </c>
      <c r="G71" s="124">
        <f t="shared" si="12"/>
        <v>4057.471</v>
      </c>
      <c r="H71" s="124">
        <v>54.29</v>
      </c>
      <c r="I71" s="124">
        <f t="shared" si="13"/>
        <v>4144.4985999999999</v>
      </c>
      <c r="J71" s="3"/>
    </row>
    <row r="72" spans="1:12">
      <c r="A72" s="98"/>
      <c r="B72" s="99"/>
      <c r="C72" s="106" t="s">
        <v>18</v>
      </c>
      <c r="D72" s="99"/>
      <c r="E72" s="99"/>
      <c r="F72" s="99"/>
      <c r="G72" s="100">
        <f>SUM(G66:G71)</f>
        <v>41347.327299999997</v>
      </c>
      <c r="H72" s="115"/>
      <c r="I72" s="114">
        <f>SUM(I66:I71)</f>
        <v>42378.590700000008</v>
      </c>
      <c r="J72" s="3"/>
    </row>
    <row r="73" spans="1:12" ht="15" customHeight="1">
      <c r="A73" s="150" t="s">
        <v>31</v>
      </c>
      <c r="B73" s="151"/>
      <c r="C73" s="151"/>
      <c r="D73" s="151"/>
      <c r="E73" s="151"/>
      <c r="F73" s="152"/>
      <c r="G73" s="121">
        <f>G72+G64+G23</f>
        <v>529864.21920000005</v>
      </c>
      <c r="H73" s="112"/>
      <c r="I73" s="121">
        <f>I72+I64+I23</f>
        <v>545718.26890000002</v>
      </c>
      <c r="J73" s="4"/>
      <c r="K73" s="4"/>
      <c r="L73" s="4"/>
    </row>
    <row r="74" spans="1:12" ht="15" customHeight="1">
      <c r="A74" s="153" t="s">
        <v>30</v>
      </c>
      <c r="B74" s="154"/>
      <c r="C74" s="154"/>
      <c r="D74" s="154"/>
      <c r="E74" s="154"/>
      <c r="F74" s="155"/>
      <c r="G74" s="122">
        <f>G73*1.2034</f>
        <v>637638.60138528002</v>
      </c>
      <c r="H74" s="113"/>
      <c r="I74" s="123">
        <f>I73*1.2034</f>
        <v>656717.36479426001</v>
      </c>
      <c r="J74" s="4"/>
      <c r="K74" s="4"/>
      <c r="L74" s="4"/>
    </row>
    <row r="75" spans="1:12" s="120" customFormat="1" ht="15" customHeight="1">
      <c r="A75" s="116"/>
      <c r="B75" s="116"/>
      <c r="C75" s="116"/>
      <c r="D75" s="116"/>
      <c r="E75" s="116"/>
      <c r="F75" s="116"/>
      <c r="G75" s="117"/>
      <c r="H75" s="117"/>
      <c r="I75" s="118"/>
      <c r="J75" s="119"/>
      <c r="K75" s="119"/>
      <c r="L75" s="119"/>
    </row>
    <row r="76" spans="1:12" s="120" customFormat="1" ht="15" customHeight="1">
      <c r="A76" s="116"/>
      <c r="B76" s="116"/>
      <c r="C76" s="116"/>
      <c r="D76" s="116"/>
      <c r="E76" s="116"/>
      <c r="F76" s="116"/>
      <c r="G76" s="117"/>
      <c r="H76" s="117"/>
      <c r="I76" s="118"/>
      <c r="J76" s="119"/>
      <c r="K76" s="119"/>
      <c r="L76" s="119"/>
    </row>
    <row r="77" spans="1:12" s="120" customFormat="1" ht="15" customHeight="1">
      <c r="A77" s="126" t="s">
        <v>310</v>
      </c>
      <c r="B77" s="116"/>
      <c r="C77" s="116"/>
      <c r="D77" s="116"/>
      <c r="E77" s="116"/>
      <c r="F77" s="116"/>
      <c r="G77" s="117"/>
      <c r="H77" s="117"/>
      <c r="I77" s="118"/>
      <c r="J77" s="119"/>
      <c r="K77" s="119"/>
      <c r="L77" s="119"/>
    </row>
    <row r="78" spans="1:12" s="120" customFormat="1" ht="15" customHeight="1">
      <c r="A78" s="116"/>
      <c r="B78" s="127" t="s">
        <v>311</v>
      </c>
      <c r="C78" s="116"/>
      <c r="D78" s="116"/>
      <c r="E78" s="116"/>
      <c r="F78" s="116"/>
      <c r="G78" s="117"/>
      <c r="H78" s="117"/>
      <c r="I78" s="118"/>
      <c r="J78" s="119"/>
      <c r="K78" s="119"/>
      <c r="L78" s="119"/>
    </row>
    <row r="79" spans="1:1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</row>
    <row r="80" spans="1:1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</row>
    <row r="81" spans="1:1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</row>
    <row r="82" spans="1:1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</row>
    <row r="83" spans="1:1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</row>
    <row r="84" spans="1:1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</row>
    <row r="85" spans="1:1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</row>
    <row r="86" spans="1:1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</row>
    <row r="87" spans="1:1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</row>
    <row r="88" spans="1:1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</row>
    <row r="89" spans="1:1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</row>
    <row r="90" spans="1:1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</row>
    <row r="91" spans="1:1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</row>
    <row r="92" spans="1:1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</row>
    <row r="93" spans="1:1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</row>
    <row r="94" spans="1:1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</row>
    <row r="95" spans="1:1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</row>
    <row r="96" spans="1:1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</row>
    <row r="97" spans="1:1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</row>
    <row r="98" spans="1:1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</row>
    <row r="99" spans="1:1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</row>
    <row r="100" spans="1:1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</row>
    <row r="101" spans="1:1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</row>
    <row r="102" spans="1:1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</row>
    <row r="103" spans="1:1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</row>
    <row r="104" spans="1:1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</row>
    <row r="105" spans="1:1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</row>
    <row r="106" spans="1:1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</row>
    <row r="107" spans="1:1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</row>
    <row r="108" spans="1:1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</row>
    <row r="109" spans="1:1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</row>
    <row r="110" spans="1:1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</row>
    <row r="111" spans="1:1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</row>
    <row r="112" spans="1:1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</row>
    <row r="113" spans="1:1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</row>
    <row r="114" spans="1:1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</row>
    <row r="115" spans="1:1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</row>
    <row r="116" spans="1:1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</row>
    <row r="117" spans="1:1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</row>
    <row r="118" spans="1:1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</row>
    <row r="119" spans="1:1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</row>
    <row r="120" spans="1:1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</row>
    <row r="121" spans="1:1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</row>
    <row r="122" spans="1:1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</row>
    <row r="123" spans="1:1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</row>
    <row r="124" spans="1:1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</row>
    <row r="125" spans="1:1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</row>
    <row r="126" spans="1:1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</row>
    <row r="127" spans="1:1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</row>
    <row r="128" spans="1:1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</row>
    <row r="129" spans="1:1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</row>
    <row r="130" spans="1:1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</row>
    <row r="131" spans="1:1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</row>
    <row r="132" spans="1:1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</row>
    <row r="133" spans="1:1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</row>
    <row r="134" spans="1:1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</row>
    <row r="135" spans="1:1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</row>
    <row r="136" spans="1:1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</row>
    <row r="137" spans="1:1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</row>
    <row r="138" spans="1:1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</row>
    <row r="139" spans="1:1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</row>
    <row r="140" spans="1:1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</row>
    <row r="141" spans="1:1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</row>
    <row r="142" spans="1:1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</row>
    <row r="143" spans="1:1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</row>
    <row r="144" spans="1:1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</row>
    <row r="145" spans="1:1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</row>
    <row r="146" spans="1:1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</row>
    <row r="147" spans="1:1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</row>
    <row r="148" spans="1:1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</row>
    <row r="149" spans="1:1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</row>
    <row r="150" spans="1:1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</row>
    <row r="151" spans="1:1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</row>
    <row r="152" spans="1:1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</row>
    <row r="153" spans="1:1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</row>
    <row r="154" spans="1:1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</row>
    <row r="155" spans="1:1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</row>
    <row r="156" spans="1:1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</row>
    <row r="157" spans="1:1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</row>
    <row r="158" spans="1:1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</row>
    <row r="159" spans="1:1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</row>
    <row r="160" spans="1:1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</row>
    <row r="161" spans="1:1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</row>
    <row r="162" spans="1:1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</row>
    <row r="163" spans="1:1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</row>
    <row r="164" spans="1:1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</row>
    <row r="165" spans="1:1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</row>
    <row r="166" spans="1:1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</row>
    <row r="167" spans="1:1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</row>
    <row r="168" spans="1:1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</row>
    <row r="169" spans="1:1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</row>
    <row r="170" spans="1:1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</row>
    <row r="171" spans="1:1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</row>
    <row r="172" spans="1:1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</row>
    <row r="173" spans="1:1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</row>
    <row r="174" spans="1:1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</row>
    <row r="175" spans="1:1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</row>
    <row r="176" spans="1:1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</row>
    <row r="177" spans="1:1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</row>
    <row r="178" spans="1:1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</row>
    <row r="179" spans="1:1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</row>
    <row r="180" spans="1:1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</row>
    <row r="181" spans="1:1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</row>
    <row r="182" spans="1:1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</row>
    <row r="183" spans="1:1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</row>
    <row r="184" spans="1:1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</row>
    <row r="185" spans="1:1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</row>
    <row r="186" spans="1:1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</row>
    <row r="187" spans="1:1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</row>
    <row r="188" spans="1:1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</row>
    <row r="189" spans="1:1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</row>
    <row r="190" spans="1:1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</row>
    <row r="191" spans="1:1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</row>
    <row r="192" spans="1:1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</row>
    <row r="193" spans="1:1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</row>
    <row r="194" spans="1:1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</row>
    <row r="195" spans="1:1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</row>
    <row r="196" spans="1:1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</row>
    <row r="197" spans="1:1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</row>
    <row r="198" spans="1:1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</row>
    <row r="199" spans="1:1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</row>
    <row r="200" spans="1:1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</row>
    <row r="201" spans="1:1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</row>
    <row r="202" spans="1:1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</row>
    <row r="203" spans="1:1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</row>
    <row r="204" spans="1:1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</row>
    <row r="205" spans="1:1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</row>
    <row r="206" spans="1:1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</row>
    <row r="207" spans="1:1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</row>
    <row r="208" spans="1:1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</row>
    <row r="209" spans="1:1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</row>
    <row r="210" spans="1:1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</row>
    <row r="211" spans="1:1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</row>
    <row r="212" spans="1:1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</row>
    <row r="213" spans="1:1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</row>
    <row r="214" spans="1:1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</row>
    <row r="215" spans="1:1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</row>
    <row r="216" spans="1:1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</row>
    <row r="217" spans="1:1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</row>
    <row r="218" spans="1:1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</row>
    <row r="219" spans="1:1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</row>
    <row r="220" spans="1:1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</row>
    <row r="221" spans="1:1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</row>
    <row r="222" spans="1:1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</row>
    <row r="223" spans="1:1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</row>
    <row r="224" spans="1:1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</row>
    <row r="225" spans="1:1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</row>
    <row r="226" spans="1:1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</row>
    <row r="227" spans="1:1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</row>
    <row r="228" spans="1:1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</row>
    <row r="229" spans="1:1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</row>
    <row r="230" spans="1:1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</row>
    <row r="231" spans="1:1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</row>
    <row r="232" spans="1:1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</row>
    <row r="233" spans="1:1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</row>
    <row r="234" spans="1:1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</row>
    <row r="235" spans="1:1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</row>
    <row r="236" spans="1:1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</row>
    <row r="237" spans="1:1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</row>
    <row r="238" spans="1:1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</row>
    <row r="239" spans="1:1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</row>
    <row r="240" spans="1:1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</row>
    <row r="241" spans="1:1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</row>
    <row r="242" spans="1:1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</row>
    <row r="243" spans="1:1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</row>
    <row r="244" spans="1:1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</row>
    <row r="245" spans="1:1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</row>
    <row r="246" spans="1:1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</row>
    <row r="247" spans="1:1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</row>
    <row r="248" spans="1:1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</row>
    <row r="249" spans="1:1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</row>
    <row r="250" spans="1:1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</row>
    <row r="251" spans="1:1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</row>
    <row r="252" spans="1:1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</row>
    <row r="253" spans="1:1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</row>
    <row r="254" spans="1:1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</row>
    <row r="255" spans="1:1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</row>
    <row r="256" spans="1:12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</row>
    <row r="257" spans="1:12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</row>
    <row r="258" spans="1:12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</row>
    <row r="259" spans="1:12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</row>
    <row r="260" spans="1:12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</row>
    <row r="261" spans="1:12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</row>
    <row r="262" spans="1:12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</row>
    <row r="263" spans="1:12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</row>
    <row r="264" spans="1:12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</row>
    <row r="265" spans="1:12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</row>
    <row r="266" spans="1:12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</row>
    <row r="267" spans="1:12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</row>
    <row r="268" spans="1:12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</row>
    <row r="269" spans="1:12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</row>
    <row r="270" spans="1:12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</row>
    <row r="271" spans="1:12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</row>
    <row r="272" spans="1:12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</row>
    <row r="273" spans="1:12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</row>
    <row r="274" spans="1:12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</row>
    <row r="275" spans="1:12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</row>
    <row r="276" spans="1:1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</row>
    <row r="277" spans="1:12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</row>
    <row r="278" spans="1:12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</row>
    <row r="279" spans="1:12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</row>
    <row r="280" spans="1:12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</row>
    <row r="281" spans="1:12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</row>
    <row r="282" spans="1:12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</row>
    <row r="283" spans="1:12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</row>
    <row r="284" spans="1:12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</row>
    <row r="285" spans="1:12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</row>
    <row r="286" spans="1:12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</row>
    <row r="287" spans="1:12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</row>
    <row r="288" spans="1:12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</row>
    <row r="289" spans="1:12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</row>
    <row r="290" spans="1:12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</row>
    <row r="291" spans="1:12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</row>
    <row r="292" spans="1:12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</row>
    <row r="293" spans="1:12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</row>
    <row r="294" spans="1:12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</row>
    <row r="295" spans="1:12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</row>
    <row r="296" spans="1:12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</row>
    <row r="297" spans="1:12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</row>
    <row r="298" spans="1:12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</row>
    <row r="299" spans="1:12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</row>
    <row r="300" spans="1:1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</row>
    <row r="301" spans="1:12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</row>
    <row r="302" spans="1:12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</row>
    <row r="303" spans="1:12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</row>
    <row r="304" spans="1:12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</row>
    <row r="305" spans="1:12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</row>
    <row r="306" spans="1:12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</row>
    <row r="307" spans="1:12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</row>
    <row r="308" spans="1:12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</row>
    <row r="309" spans="1:12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</row>
    <row r="310" spans="1:12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</row>
    <row r="311" spans="1:12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</row>
    <row r="312" spans="1:12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</row>
    <row r="313" spans="1:12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</row>
    <row r="314" spans="1:12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</row>
    <row r="315" spans="1:12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</row>
    <row r="316" spans="1:12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</row>
    <row r="317" spans="1:12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</row>
    <row r="318" spans="1:12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</row>
    <row r="319" spans="1:12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</row>
    <row r="320" spans="1:12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</row>
    <row r="321" spans="1:12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</row>
    <row r="322" spans="1:12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</row>
    <row r="323" spans="1:12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</row>
    <row r="324" spans="1:1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</row>
    <row r="325" spans="1:12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</row>
    <row r="326" spans="1:12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</row>
    <row r="327" spans="1:12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</row>
    <row r="328" spans="1:12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</row>
    <row r="329" spans="1:12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</row>
    <row r="330" spans="1:12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</row>
    <row r="331" spans="1:12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</row>
    <row r="332" spans="1:12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</row>
    <row r="333" spans="1:12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</row>
    <row r="334" spans="1:12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</row>
    <row r="335" spans="1:12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</row>
    <row r="336" spans="1:12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</row>
    <row r="337" spans="1:12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</row>
    <row r="338" spans="1:12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</row>
    <row r="339" spans="1:12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</row>
    <row r="340" spans="1:12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</row>
    <row r="341" spans="1:12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</row>
    <row r="342" spans="1:12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</row>
    <row r="343" spans="1:12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</row>
    <row r="344" spans="1:12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</row>
    <row r="345" spans="1:12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</row>
    <row r="346" spans="1:12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</row>
    <row r="347" spans="1:12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</row>
    <row r="348" spans="1:12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</row>
    <row r="349" spans="1:12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</row>
    <row r="350" spans="1:12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</row>
    <row r="351" spans="1:12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</row>
    <row r="352" spans="1:12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</row>
    <row r="353" spans="1:12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</row>
    <row r="354" spans="1:12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</row>
    <row r="355" spans="1:12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</row>
    <row r="356" spans="1:12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</row>
    <row r="357" spans="1:12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</row>
    <row r="358" spans="1:12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</row>
    <row r="359" spans="1:12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</row>
    <row r="360" spans="1:12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</row>
    <row r="361" spans="1:12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</row>
    <row r="362" spans="1:12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</row>
    <row r="363" spans="1:12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</row>
    <row r="364" spans="1:12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</row>
    <row r="365" spans="1:12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</row>
    <row r="366" spans="1:12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</row>
    <row r="367" spans="1:12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</row>
    <row r="368" spans="1:12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</row>
    <row r="369" spans="1:12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</row>
    <row r="370" spans="1:12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</row>
    <row r="371" spans="1:12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</row>
    <row r="372" spans="1:12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</row>
    <row r="373" spans="1:12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</row>
    <row r="374" spans="1:12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</row>
    <row r="375" spans="1:12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</row>
    <row r="376" spans="1:12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</row>
    <row r="377" spans="1:12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</row>
    <row r="378" spans="1:12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</row>
    <row r="379" spans="1:12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</row>
    <row r="380" spans="1:12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</row>
    <row r="381" spans="1:12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</row>
    <row r="382" spans="1:12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</row>
    <row r="383" spans="1:12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</row>
    <row r="384" spans="1:12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</row>
    <row r="385" spans="1:12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</row>
    <row r="386" spans="1:12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</row>
    <row r="387" spans="1:12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</row>
    <row r="388" spans="1:12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</row>
    <row r="389" spans="1:12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</row>
    <row r="390" spans="1:12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</row>
    <row r="391" spans="1:12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</row>
    <row r="392" spans="1:12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</row>
    <row r="393" spans="1:12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</row>
    <row r="394" spans="1:12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</row>
    <row r="395" spans="1:12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</row>
    <row r="396" spans="1:12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</row>
    <row r="397" spans="1:12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</row>
    <row r="398" spans="1:12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</row>
    <row r="399" spans="1:12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</row>
    <row r="400" spans="1:12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</row>
    <row r="401" spans="1:12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</row>
    <row r="402" spans="1:12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</row>
    <row r="403" spans="1:12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</row>
    <row r="404" spans="1:12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</row>
    <row r="405" spans="1:12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</row>
    <row r="406" spans="1:12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</row>
    <row r="407" spans="1:12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</row>
    <row r="408" spans="1:12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</row>
    <row r="409" spans="1:1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</row>
    <row r="410" spans="1:1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</row>
    <row r="411" spans="1:12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</row>
    <row r="412" spans="1:12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</row>
    <row r="413" spans="1:12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</row>
    <row r="414" spans="1:12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</row>
    <row r="415" spans="1:12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</row>
    <row r="416" spans="1:12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</row>
    <row r="417" spans="1:12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</row>
    <row r="418" spans="1:12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</row>
    <row r="419" spans="1:12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</row>
    <row r="420" spans="1:12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</row>
    <row r="421" spans="1:12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</row>
    <row r="422" spans="1:12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</row>
    <row r="423" spans="1:12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</row>
    <row r="424" spans="1:12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</row>
    <row r="425" spans="1:12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</row>
    <row r="426" spans="1:12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</row>
    <row r="427" spans="1:12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</row>
    <row r="428" spans="1:12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</row>
    <row r="429" spans="1:12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</row>
    <row r="430" spans="1:12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</row>
    <row r="431" spans="1:12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</row>
    <row r="432" spans="1:12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</row>
    <row r="433" spans="1:12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</row>
    <row r="434" spans="1:12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</row>
    <row r="435" spans="1:12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</row>
    <row r="436" spans="1:12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</row>
    <row r="437" spans="1:12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</row>
    <row r="438" spans="1:12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</row>
    <row r="439" spans="1:12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</row>
    <row r="440" spans="1:12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</row>
    <row r="441" spans="1:12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</row>
    <row r="442" spans="1:12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</row>
    <row r="443" spans="1:12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</row>
    <row r="444" spans="1:12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</row>
    <row r="445" spans="1:12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</row>
    <row r="446" spans="1:12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</row>
    <row r="447" spans="1:12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</row>
    <row r="448" spans="1:12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</row>
    <row r="449" spans="1:12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</row>
    <row r="450" spans="1:12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</row>
    <row r="451" spans="1:12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</row>
    <row r="452" spans="1:12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</row>
    <row r="453" spans="1:12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</row>
    <row r="454" spans="1:12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</row>
    <row r="455" spans="1:12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</row>
    <row r="456" spans="1:12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</row>
    <row r="457" spans="1:12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</row>
    <row r="458" spans="1:12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</row>
    <row r="459" spans="1:12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</row>
    <row r="460" spans="1:12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</row>
    <row r="461" spans="1:12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</row>
    <row r="462" spans="1:12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</row>
    <row r="463" spans="1:12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</row>
    <row r="464" spans="1:12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</row>
    <row r="465" spans="1:12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</row>
    <row r="466" spans="1:12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</row>
    <row r="467" spans="1:12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</row>
    <row r="468" spans="1:12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</row>
    <row r="469" spans="1:12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</row>
    <row r="470" spans="1:12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</row>
    <row r="471" spans="1:12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</row>
    <row r="472" spans="1:12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</row>
    <row r="473" spans="1:12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</row>
    <row r="474" spans="1:12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</row>
    <row r="475" spans="1:12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</row>
    <row r="476" spans="1:12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</row>
    <row r="477" spans="1:12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</row>
    <row r="478" spans="1:12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</row>
    <row r="479" spans="1:12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</row>
    <row r="480" spans="1:12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</row>
    <row r="481" spans="1:12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</row>
    <row r="482" spans="1:12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</row>
    <row r="483" spans="1:12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</row>
    <row r="484" spans="1:12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</row>
    <row r="485" spans="1:12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</row>
    <row r="486" spans="1:12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</row>
    <row r="487" spans="1:12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</row>
    <row r="488" spans="1:12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</row>
    <row r="489" spans="1:12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</row>
    <row r="490" spans="1:12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</row>
    <row r="491" spans="1:12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</row>
    <row r="492" spans="1:12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</row>
    <row r="493" spans="1:12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</row>
    <row r="494" spans="1:12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</row>
    <row r="495" spans="1:12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</row>
    <row r="496" spans="1:12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</row>
    <row r="497" spans="1:12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</row>
    <row r="498" spans="1:12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</row>
    <row r="499" spans="1:12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</row>
    <row r="500" spans="1:12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</row>
    <row r="501" spans="1:12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</row>
    <row r="502" spans="1:12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</row>
    <row r="503" spans="1:12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</row>
    <row r="504" spans="1:12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</row>
    <row r="505" spans="1:12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</row>
    <row r="506" spans="1:12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</row>
    <row r="507" spans="1:12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</row>
    <row r="508" spans="1:12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</row>
    <row r="509" spans="1:12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</row>
    <row r="510" spans="1:12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</row>
    <row r="511" spans="1:12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</row>
    <row r="512" spans="1:12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</row>
    <row r="513" spans="1:12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</row>
    <row r="514" spans="1:12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</row>
    <row r="515" spans="1:12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</row>
    <row r="516" spans="1:12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</row>
    <row r="517" spans="1:12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</row>
    <row r="518" spans="1:12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</row>
    <row r="519" spans="1:12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</row>
    <row r="520" spans="1:12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</row>
    <row r="521" spans="1:12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</row>
    <row r="522" spans="1:12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</row>
    <row r="523" spans="1:12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</row>
    <row r="524" spans="1:12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</row>
    <row r="525" spans="1:12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</row>
    <row r="526" spans="1:12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</row>
    <row r="527" spans="1:12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</row>
    <row r="528" spans="1:12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</row>
    <row r="529" spans="1:12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</row>
    <row r="530" spans="1:12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</row>
    <row r="531" spans="1:12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</row>
    <row r="532" spans="1:12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</row>
    <row r="533" spans="1:12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</row>
    <row r="534" spans="1:12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</row>
    <row r="535" spans="1:12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</row>
    <row r="536" spans="1:12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</row>
    <row r="537" spans="1:12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</row>
    <row r="538" spans="1:12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</row>
    <row r="539" spans="1:12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</row>
    <row r="540" spans="1:12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</row>
    <row r="541" spans="1:12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</row>
    <row r="542" spans="1:12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</row>
    <row r="543" spans="1:12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</row>
    <row r="544" spans="1:12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</row>
    <row r="545" spans="1:12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</row>
    <row r="546" spans="1:12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</row>
    <row r="547" spans="1:12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</row>
    <row r="548" spans="1:12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</row>
    <row r="549" spans="1:12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</row>
    <row r="550" spans="1:12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</row>
    <row r="551" spans="1:12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</row>
    <row r="552" spans="1:1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</row>
    <row r="553" spans="1:12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</row>
    <row r="554" spans="1:12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</row>
    <row r="555" spans="1:12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</row>
    <row r="556" spans="1:12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</row>
    <row r="557" spans="1:12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</row>
    <row r="558" spans="1:12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</row>
    <row r="559" spans="1:12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</row>
    <row r="560" spans="1:12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</row>
    <row r="561" spans="1:12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</row>
    <row r="562" spans="1:1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</row>
    <row r="563" spans="1:12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</row>
    <row r="564" spans="1:12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</row>
    <row r="565" spans="1:12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</row>
    <row r="566" spans="1:12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</row>
    <row r="567" spans="1:12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</row>
    <row r="568" spans="1:1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</row>
    <row r="569" spans="1:12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</row>
    <row r="570" spans="1:12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</row>
    <row r="571" spans="1:12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</row>
    <row r="572" spans="1:1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</row>
    <row r="573" spans="1:12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</row>
    <row r="574" spans="1:12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</row>
    <row r="575" spans="1:12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</row>
    <row r="576" spans="1:12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</row>
    <row r="577" spans="1:12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</row>
    <row r="578" spans="1:12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</row>
    <row r="579" spans="1:12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</row>
    <row r="580" spans="1:12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</row>
    <row r="581" spans="1:12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</row>
    <row r="582" spans="1:1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</row>
    <row r="583" spans="1:12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</row>
    <row r="584" spans="1:12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</row>
    <row r="585" spans="1:12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</row>
    <row r="586" spans="1:12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</row>
    <row r="587" spans="1:12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</row>
    <row r="588" spans="1:12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</row>
    <row r="589" spans="1:12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</row>
    <row r="590" spans="1:12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</row>
    <row r="591" spans="1:12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</row>
    <row r="592" spans="1:1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</row>
    <row r="593" spans="1:12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</row>
    <row r="594" spans="1:12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</row>
    <row r="595" spans="1:12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</row>
    <row r="596" spans="1:12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</row>
    <row r="597" spans="1:12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</row>
    <row r="598" spans="1:12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</row>
    <row r="599" spans="1:12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</row>
    <row r="600" spans="1:12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</row>
    <row r="601" spans="1:12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</row>
    <row r="602" spans="1:1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</row>
    <row r="603" spans="1:12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</row>
    <row r="604" spans="1:12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</row>
    <row r="605" spans="1:12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</row>
    <row r="606" spans="1:12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</row>
    <row r="607" spans="1:12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</row>
    <row r="608" spans="1:12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</row>
    <row r="609" spans="1:12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</row>
    <row r="610" spans="1:12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</row>
    <row r="611" spans="1:12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</row>
    <row r="612" spans="1: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</row>
    <row r="613" spans="1:12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</row>
    <row r="614" spans="1:12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</row>
    <row r="615" spans="1:12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</row>
    <row r="616" spans="1:12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</row>
    <row r="617" spans="1:12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</row>
    <row r="618" spans="1:12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</row>
    <row r="619" spans="1:12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</row>
    <row r="620" spans="1:12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</row>
    <row r="621" spans="1:12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</row>
    <row r="622" spans="1:1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</row>
    <row r="623" spans="1:12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</row>
    <row r="624" spans="1:12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</row>
    <row r="625" spans="1:12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</row>
    <row r="626" spans="1:12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</row>
    <row r="627" spans="1:12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</row>
    <row r="628" spans="1:12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</row>
    <row r="629" spans="1:12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</row>
    <row r="630" spans="1:12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</row>
    <row r="631" spans="1:12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</row>
    <row r="632" spans="1:1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</row>
    <row r="633" spans="1:12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</row>
    <row r="634" spans="1:12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</row>
    <row r="635" spans="1:12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</row>
    <row r="636" spans="1:12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</row>
    <row r="637" spans="1:12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</row>
    <row r="638" spans="1:12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</row>
    <row r="639" spans="1:12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</row>
    <row r="640" spans="1:12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</row>
    <row r="641" spans="1:12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</row>
    <row r="642" spans="1:1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</row>
    <row r="643" spans="1:1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</row>
    <row r="644" spans="1:1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</row>
    <row r="645" spans="1:1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</row>
    <row r="646" spans="1:1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</row>
    <row r="647" spans="1:1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</row>
    <row r="648" spans="1:1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</row>
    <row r="649" spans="1:1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</row>
    <row r="650" spans="1:1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</row>
    <row r="651" spans="1:1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</row>
    <row r="652" spans="1:1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</row>
    <row r="653" spans="1:1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</row>
    <row r="654" spans="1:1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</row>
    <row r="655" spans="1:1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</row>
    <row r="656" spans="1:1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</row>
    <row r="657" spans="1:1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</row>
    <row r="658" spans="1:1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</row>
    <row r="659" spans="1:1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</row>
    <row r="660" spans="1:1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</row>
    <row r="661" spans="1:1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</row>
    <row r="662" spans="1:1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</row>
    <row r="663" spans="1:1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</row>
    <row r="664" spans="1:1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</row>
    <row r="665" spans="1:1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</row>
    <row r="666" spans="1:1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</row>
    <row r="667" spans="1:1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</row>
    <row r="668" spans="1:1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</row>
    <row r="669" spans="1:12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</row>
    <row r="670" spans="1:12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</row>
    <row r="671" spans="1:12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</row>
    <row r="672" spans="1:1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</row>
    <row r="673" spans="1:12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</row>
    <row r="674" spans="1:12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</row>
    <row r="675" spans="1:12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</row>
    <row r="676" spans="1:12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</row>
    <row r="677" spans="1:12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</row>
    <row r="678" spans="1:12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</row>
    <row r="679" spans="1:12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</row>
    <row r="680" spans="1:12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</row>
    <row r="681" spans="1:12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</row>
    <row r="682" spans="1:12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</row>
    <row r="683" spans="1:12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</row>
    <row r="684" spans="1:12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</row>
    <row r="685" spans="1:12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</row>
    <row r="686" spans="1:12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</row>
    <row r="687" spans="1:12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</row>
    <row r="688" spans="1:12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</row>
    <row r="689" spans="1:12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</row>
    <row r="690" spans="1:12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</row>
    <row r="691" spans="1:12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</row>
    <row r="692" spans="1:12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</row>
    <row r="693" spans="1:12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</row>
    <row r="694" spans="1:12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</row>
    <row r="695" spans="1:12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</row>
    <row r="696" spans="1:12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</row>
    <row r="697" spans="1:12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</row>
    <row r="698" spans="1:12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</row>
    <row r="699" spans="1:12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</row>
    <row r="700" spans="1:12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</row>
    <row r="701" spans="1:12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</row>
    <row r="702" spans="1:12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</row>
    <row r="703" spans="1:12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</row>
    <row r="704" spans="1:12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</row>
    <row r="705" spans="1:12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</row>
    <row r="706" spans="1:12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</row>
    <row r="707" spans="1:12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</row>
    <row r="708" spans="1:12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</row>
    <row r="709" spans="1:12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</row>
    <row r="710" spans="1:12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</row>
    <row r="711" spans="1:12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</row>
    <row r="712" spans="1:12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</row>
    <row r="713" spans="1:12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</row>
    <row r="714" spans="1:12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</row>
    <row r="715" spans="1:12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</row>
    <row r="716" spans="1:12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</row>
    <row r="717" spans="1:12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</row>
    <row r="718" spans="1:12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</row>
    <row r="719" spans="1:12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</row>
    <row r="720" spans="1:12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</row>
    <row r="721" spans="1:12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</row>
    <row r="722" spans="1:12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</row>
    <row r="723" spans="1:12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</row>
    <row r="724" spans="1:12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</row>
    <row r="725" spans="1:12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</row>
    <row r="726" spans="1:12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</row>
    <row r="727" spans="1:12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</row>
    <row r="728" spans="1:12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</row>
    <row r="729" spans="1:12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</row>
    <row r="730" spans="1:12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</row>
    <row r="731" spans="1:12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</row>
    <row r="732" spans="1:12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</row>
    <row r="733" spans="1:12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</row>
    <row r="734" spans="1:12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</row>
    <row r="735" spans="1:12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</row>
    <row r="736" spans="1:12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</row>
    <row r="737" spans="1:12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</row>
    <row r="738" spans="1:12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</row>
    <row r="739" spans="1:12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</row>
    <row r="740" spans="1:12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</row>
    <row r="741" spans="1:12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</row>
    <row r="742" spans="1:12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</row>
    <row r="743" spans="1:12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</row>
    <row r="744" spans="1:12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</row>
    <row r="745" spans="1:12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</row>
    <row r="746" spans="1:12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</row>
    <row r="747" spans="1:12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</row>
    <row r="748" spans="1:12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</row>
    <row r="749" spans="1:12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</row>
  </sheetData>
  <mergeCells count="13">
    <mergeCell ref="B65:C65"/>
    <mergeCell ref="A73:F73"/>
    <mergeCell ref="A74:F74"/>
    <mergeCell ref="B56:C56"/>
    <mergeCell ref="B9:C9"/>
    <mergeCell ref="B10:C10"/>
    <mergeCell ref="B12:C12"/>
    <mergeCell ref="B24:C24"/>
    <mergeCell ref="C3:H3"/>
    <mergeCell ref="B25:C25"/>
    <mergeCell ref="B33:C33"/>
    <mergeCell ref="B38:C38"/>
    <mergeCell ref="B45:C45"/>
  </mergeCells>
  <phoneticPr fontId="2" type="noConversion"/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C20"/>
  <sheetViews>
    <sheetView workbookViewId="0">
      <selection activeCell="A7" sqref="A7"/>
    </sheetView>
  </sheetViews>
  <sheetFormatPr defaultRowHeight="15"/>
  <cols>
    <col min="1" max="1" width="70.28515625" customWidth="1"/>
    <col min="2" max="2" width="10.5703125" customWidth="1"/>
    <col min="3" max="3" width="11.5703125" customWidth="1"/>
    <col min="14" max="14" width="56.140625" bestFit="1" customWidth="1"/>
  </cols>
  <sheetData>
    <row r="4" spans="1:3">
      <c r="A4" s="156" t="s">
        <v>317</v>
      </c>
      <c r="B4" s="156"/>
      <c r="C4" s="156"/>
    </row>
    <row r="7" spans="1:3" ht="28.5">
      <c r="A7" s="134" t="s">
        <v>333</v>
      </c>
      <c r="B7" s="132" t="s">
        <v>332</v>
      </c>
      <c r="C7" s="135" t="s">
        <v>318</v>
      </c>
    </row>
    <row r="8" spans="1:3">
      <c r="A8" s="136" t="s">
        <v>326</v>
      </c>
      <c r="B8" s="130" t="s">
        <v>334</v>
      </c>
      <c r="C8" s="137">
        <v>0.03</v>
      </c>
    </row>
    <row r="9" spans="1:3">
      <c r="A9" s="136" t="s">
        <v>328</v>
      </c>
      <c r="B9" s="130" t="s">
        <v>335</v>
      </c>
      <c r="C9" s="137">
        <v>5.8999999999999999E-3</v>
      </c>
    </row>
    <row r="10" spans="1:3">
      <c r="A10" s="136" t="s">
        <v>327</v>
      </c>
      <c r="B10" s="130" t="s">
        <v>336</v>
      </c>
      <c r="C10" s="137">
        <v>1.77E-2</v>
      </c>
    </row>
    <row r="11" spans="1:3">
      <c r="A11" s="138" t="s">
        <v>319</v>
      </c>
      <c r="B11" s="131"/>
      <c r="C11" s="139">
        <v>5.0000000000000001E-3</v>
      </c>
    </row>
    <row r="12" spans="1:3">
      <c r="A12" s="138" t="s">
        <v>320</v>
      </c>
      <c r="B12" s="131"/>
      <c r="C12" s="139">
        <v>9.7000000000000003E-3</v>
      </c>
    </row>
    <row r="13" spans="1:3">
      <c r="A13" s="138" t="s">
        <v>321</v>
      </c>
      <c r="B13" s="131"/>
      <c r="C13" s="139">
        <v>3.0000000000000001E-3</v>
      </c>
    </row>
    <row r="14" spans="1:3">
      <c r="A14" s="140" t="s">
        <v>329</v>
      </c>
      <c r="B14" s="130" t="s">
        <v>337</v>
      </c>
      <c r="C14" s="137">
        <f>C15+C16+C17</f>
        <v>8.6499999999999994E-2</v>
      </c>
    </row>
    <row r="15" spans="1:3">
      <c r="A15" s="138" t="s">
        <v>322</v>
      </c>
      <c r="B15" s="131"/>
      <c r="C15" s="139">
        <v>0.05</v>
      </c>
    </row>
    <row r="16" spans="1:3">
      <c r="A16" s="138" t="s">
        <v>323</v>
      </c>
      <c r="B16" s="131"/>
      <c r="C16" s="139">
        <v>6.4999999999999997E-3</v>
      </c>
    </row>
    <row r="17" spans="1:3">
      <c r="A17" s="138" t="s">
        <v>324</v>
      </c>
      <c r="B17" s="131"/>
      <c r="C17" s="139">
        <v>0.03</v>
      </c>
    </row>
    <row r="18" spans="1:3">
      <c r="A18" s="140" t="s">
        <v>330</v>
      </c>
      <c r="B18" s="130" t="s">
        <v>338</v>
      </c>
      <c r="C18" s="137">
        <v>4.2599999999999999E-2</v>
      </c>
    </row>
    <row r="19" spans="1:3">
      <c r="A19" s="141" t="s">
        <v>331</v>
      </c>
      <c r="B19" s="142"/>
      <c r="C19" s="143">
        <f>ROUND((((1+C8)*(1+C9)*(1+C10)*(1+C18))/(1-C14))-1,4)</f>
        <v>0.2034</v>
      </c>
    </row>
    <row r="20" spans="1:3">
      <c r="A20" s="133" t="s">
        <v>325</v>
      </c>
      <c r="B20" s="128"/>
      <c r="C20" s="129"/>
    </row>
  </sheetData>
  <mergeCells count="1">
    <mergeCell ref="A4:C4"/>
  </mergeCells>
  <pageMargins left="0.51181102362204722" right="0.51181102362204722" top="0.78740157480314965" bottom="0.78740157480314965" header="0.31496062992125984" footer="0.31496062992125984"/>
  <pageSetup paperSize="9" scale="9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F27"/>
  <sheetViews>
    <sheetView workbookViewId="0">
      <selection activeCell="B16" sqref="B16:B17"/>
    </sheetView>
  </sheetViews>
  <sheetFormatPr defaultRowHeight="15"/>
  <cols>
    <col min="1" max="1" width="3.28515625" bestFit="1" customWidth="1"/>
    <col min="2" max="2" width="48" bestFit="1" customWidth="1"/>
    <col min="3" max="3" width="13.85546875" customWidth="1"/>
    <col min="4" max="4" width="10" bestFit="1" customWidth="1"/>
    <col min="5" max="5" width="11.85546875" customWidth="1"/>
    <col min="6" max="6" width="12" customWidth="1"/>
  </cols>
  <sheetData>
    <row r="5" spans="1:6" ht="23.25">
      <c r="A5" s="166" t="s">
        <v>266</v>
      </c>
      <c r="B5" s="166"/>
      <c r="C5" s="166"/>
      <c r="D5" s="166"/>
      <c r="E5" s="166"/>
      <c r="F5" s="166"/>
    </row>
    <row r="7" spans="1:6">
      <c r="A7" t="s">
        <v>270</v>
      </c>
    </row>
    <row r="8" spans="1:6">
      <c r="A8" s="167" t="s">
        <v>262</v>
      </c>
      <c r="B8" s="167" t="s">
        <v>3</v>
      </c>
      <c r="C8" s="174" t="s">
        <v>312</v>
      </c>
      <c r="D8" s="167" t="s">
        <v>267</v>
      </c>
      <c r="E8" s="173" t="s">
        <v>314</v>
      </c>
      <c r="F8" s="173"/>
    </row>
    <row r="9" spans="1:6">
      <c r="A9" s="167"/>
      <c r="B9" s="167"/>
      <c r="C9" s="174"/>
      <c r="D9" s="167"/>
      <c r="E9" s="59" t="s">
        <v>315</v>
      </c>
      <c r="F9" s="59" t="s">
        <v>316</v>
      </c>
    </row>
    <row r="10" spans="1:6">
      <c r="A10" s="170">
        <v>1</v>
      </c>
      <c r="B10" s="168" t="s">
        <v>56</v>
      </c>
      <c r="C10" s="165">
        <v>26761.43</v>
      </c>
      <c r="D10" s="57" t="s">
        <v>264</v>
      </c>
      <c r="E10" s="29"/>
      <c r="F10" s="29"/>
    </row>
    <row r="11" spans="1:6">
      <c r="A11" s="170"/>
      <c r="B11" s="169"/>
      <c r="C11" s="165"/>
      <c r="D11" s="57" t="s">
        <v>265</v>
      </c>
      <c r="E11" s="58"/>
      <c r="F11" s="20"/>
    </row>
    <row r="12" spans="1:6">
      <c r="A12" s="170">
        <v>2</v>
      </c>
      <c r="B12" s="168" t="s">
        <v>258</v>
      </c>
      <c r="C12" s="165">
        <v>82323.72</v>
      </c>
      <c r="D12" s="57" t="s">
        <v>264</v>
      </c>
      <c r="E12" s="29"/>
      <c r="F12" s="29"/>
    </row>
    <row r="13" spans="1:6">
      <c r="A13" s="170"/>
      <c r="B13" s="169"/>
      <c r="C13" s="165"/>
      <c r="D13" s="57" t="s">
        <v>265</v>
      </c>
      <c r="E13" s="20"/>
      <c r="F13" s="58"/>
    </row>
    <row r="14" spans="1:6">
      <c r="A14" s="170">
        <v>3</v>
      </c>
      <c r="B14" s="168" t="s">
        <v>259</v>
      </c>
      <c r="C14" s="165">
        <v>24594.93</v>
      </c>
      <c r="D14" s="57" t="s">
        <v>264</v>
      </c>
      <c r="E14" s="29"/>
      <c r="F14" s="29"/>
    </row>
    <row r="15" spans="1:6">
      <c r="A15" s="170"/>
      <c r="B15" s="169"/>
      <c r="C15" s="165"/>
      <c r="D15" s="57" t="s">
        <v>265</v>
      </c>
      <c r="E15" s="58"/>
      <c r="F15" s="58"/>
    </row>
    <row r="16" spans="1:6">
      <c r="A16" s="170">
        <v>4</v>
      </c>
      <c r="B16" s="168" t="s">
        <v>260</v>
      </c>
      <c r="C16" s="165">
        <v>81922.61</v>
      </c>
      <c r="D16" s="57" t="s">
        <v>264</v>
      </c>
      <c r="E16" s="29"/>
      <c r="F16" s="29"/>
    </row>
    <row r="17" spans="1:6">
      <c r="A17" s="170"/>
      <c r="B17" s="169"/>
      <c r="C17" s="165"/>
      <c r="D17" s="57" t="s">
        <v>265</v>
      </c>
      <c r="E17" s="58"/>
      <c r="F17" s="58"/>
    </row>
    <row r="18" spans="1:6">
      <c r="A18" s="170">
        <v>5</v>
      </c>
      <c r="B18" s="168" t="s">
        <v>261</v>
      </c>
      <c r="C18" s="165">
        <v>358259.43</v>
      </c>
      <c r="D18" s="57" t="s">
        <v>264</v>
      </c>
      <c r="E18" s="29"/>
      <c r="F18" s="29"/>
    </row>
    <row r="19" spans="1:6">
      <c r="A19" s="170"/>
      <c r="B19" s="169"/>
      <c r="C19" s="165"/>
      <c r="D19" s="57" t="s">
        <v>265</v>
      </c>
      <c r="E19" s="58"/>
      <c r="F19" s="58"/>
    </row>
    <row r="20" spans="1:6">
      <c r="A20" s="170">
        <v>6</v>
      </c>
      <c r="B20" s="168" t="s">
        <v>294</v>
      </c>
      <c r="C20" s="171">
        <v>14019.12</v>
      </c>
      <c r="D20" s="57" t="s">
        <v>264</v>
      </c>
      <c r="E20" s="144"/>
      <c r="F20" s="144"/>
    </row>
    <row r="21" spans="1:6">
      <c r="A21" s="170"/>
      <c r="B21" s="169"/>
      <c r="C21" s="172"/>
      <c r="D21" s="57" t="s">
        <v>265</v>
      </c>
      <c r="E21" s="144"/>
      <c r="F21" s="58"/>
    </row>
    <row r="22" spans="1:6">
      <c r="A22" s="170">
        <v>7</v>
      </c>
      <c r="B22" s="168" t="s">
        <v>306</v>
      </c>
      <c r="C22" s="165">
        <v>49757.37</v>
      </c>
      <c r="D22" s="57" t="s">
        <v>264</v>
      </c>
      <c r="E22" s="29"/>
      <c r="F22" s="29"/>
    </row>
    <row r="23" spans="1:6">
      <c r="A23" s="170"/>
      <c r="B23" s="169"/>
      <c r="C23" s="165"/>
      <c r="D23" s="57" t="s">
        <v>265</v>
      </c>
      <c r="E23" s="58"/>
      <c r="F23" s="20"/>
    </row>
    <row r="24" spans="1:6">
      <c r="A24" s="157" t="s">
        <v>263</v>
      </c>
      <c r="B24" s="157"/>
      <c r="C24" s="162">
        <f>'Orçamento Referencial'!G73</f>
        <v>529864.21920000005</v>
      </c>
      <c r="D24" s="162"/>
      <c r="E24" s="162"/>
      <c r="F24" s="162"/>
    </row>
    <row r="25" spans="1:6">
      <c r="A25" s="158" t="s">
        <v>313</v>
      </c>
      <c r="B25" s="158"/>
      <c r="C25" s="163">
        <f>C24*0.2034</f>
        <v>107774.38218528</v>
      </c>
      <c r="D25" s="163"/>
      <c r="E25" s="163"/>
      <c r="F25" s="163"/>
    </row>
    <row r="26" spans="1:6">
      <c r="A26" s="159" t="s">
        <v>268</v>
      </c>
      <c r="B26" s="159"/>
      <c r="C26" s="164">
        <f>SUM(C10:C23)</f>
        <v>637638.61</v>
      </c>
      <c r="D26" s="164"/>
      <c r="E26" s="164"/>
      <c r="F26" s="164"/>
    </row>
    <row r="27" spans="1:6">
      <c r="A27" s="160" t="s">
        <v>269</v>
      </c>
      <c r="B27" s="161"/>
      <c r="C27" s="61"/>
      <c r="D27" s="61"/>
      <c r="E27" s="62">
        <f>E10+E12+E14+E16+E18+E22</f>
        <v>0</v>
      </c>
      <c r="F27" s="62">
        <f>F10+F12+F14+F16+F18+F22</f>
        <v>0</v>
      </c>
    </row>
  </sheetData>
  <mergeCells count="34">
    <mergeCell ref="A16:A17"/>
    <mergeCell ref="A18:A19"/>
    <mergeCell ref="A22:A23"/>
    <mergeCell ref="E8:F8"/>
    <mergeCell ref="C8:C9"/>
    <mergeCell ref="B8:B9"/>
    <mergeCell ref="A8:A9"/>
    <mergeCell ref="B10:B11"/>
    <mergeCell ref="B14:B15"/>
    <mergeCell ref="C10:C11"/>
    <mergeCell ref="C12:C13"/>
    <mergeCell ref="C14:C15"/>
    <mergeCell ref="C16:C17"/>
    <mergeCell ref="C18:C19"/>
    <mergeCell ref="C22:C23"/>
    <mergeCell ref="A5:F5"/>
    <mergeCell ref="D8:D9"/>
    <mergeCell ref="B20:B21"/>
    <mergeCell ref="A20:A21"/>
    <mergeCell ref="C20:C21"/>
    <mergeCell ref="B12:B13"/>
    <mergeCell ref="B18:B19"/>
    <mergeCell ref="B16:B17"/>
    <mergeCell ref="B22:B23"/>
    <mergeCell ref="A10:A11"/>
    <mergeCell ref="A12:A13"/>
    <mergeCell ref="A14:A15"/>
    <mergeCell ref="A24:B24"/>
    <mergeCell ref="A25:B25"/>
    <mergeCell ref="A26:B26"/>
    <mergeCell ref="A27:B27"/>
    <mergeCell ref="C24:F24"/>
    <mergeCell ref="C25:F25"/>
    <mergeCell ref="C26:F26"/>
  </mergeCells>
  <pageMargins left="0.51181102362204722" right="0.51181102362204722" top="0.78740157480314965" bottom="0.78740157480314965" header="0.31496062992125984" footer="0.31496062992125984"/>
  <pageSetup paperSize="9" scale="9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79"/>
  <sheetViews>
    <sheetView showGridLines="0" workbookViewId="0">
      <selection activeCell="A5" sqref="A5:A6"/>
    </sheetView>
  </sheetViews>
  <sheetFormatPr defaultRowHeight="15"/>
  <cols>
    <col min="1" max="1" width="5.28515625" style="2" bestFit="1" customWidth="1"/>
    <col min="2" max="2" width="13.42578125" customWidth="1"/>
    <col min="3" max="3" width="103.28515625" customWidth="1"/>
    <col min="4" max="4" width="10.42578125" customWidth="1"/>
    <col min="5" max="6" width="8" bestFit="1" customWidth="1"/>
    <col min="23" max="23" width="11.42578125" style="12" customWidth="1"/>
    <col min="24" max="24" width="3.5703125" style="12" bestFit="1" customWidth="1"/>
    <col min="25" max="25" width="11.28515625" style="12" bestFit="1" customWidth="1"/>
    <col min="26" max="26" width="13.7109375" customWidth="1"/>
    <col min="27" max="27" width="10.140625" customWidth="1"/>
    <col min="28" max="28" width="13.7109375" bestFit="1" customWidth="1"/>
  </cols>
  <sheetData>
    <row r="1" spans="1:29">
      <c r="D1" t="s">
        <v>249</v>
      </c>
      <c r="G1" t="s">
        <v>251</v>
      </c>
      <c r="I1" t="s">
        <v>253</v>
      </c>
      <c r="M1" s="56" t="s">
        <v>255</v>
      </c>
    </row>
    <row r="2" spans="1:29">
      <c r="D2" t="s">
        <v>250</v>
      </c>
      <c r="G2" t="s">
        <v>252</v>
      </c>
      <c r="I2" t="s">
        <v>254</v>
      </c>
    </row>
    <row r="3" spans="1:29" ht="26.25">
      <c r="C3" s="55" t="s">
        <v>236</v>
      </c>
      <c r="Y3" s="37"/>
      <c r="Z3" s="37"/>
      <c r="AA3" s="37"/>
      <c r="AB3" s="37"/>
    </row>
    <row r="4" spans="1:29">
      <c r="Y4" s="37"/>
      <c r="Z4" s="37"/>
      <c r="AA4" s="37"/>
      <c r="AB4" s="37"/>
    </row>
    <row r="5" spans="1:29">
      <c r="A5" s="175" t="s">
        <v>1</v>
      </c>
      <c r="B5" s="175" t="s">
        <v>2</v>
      </c>
      <c r="C5" s="175" t="s">
        <v>25</v>
      </c>
      <c r="D5" s="178" t="s">
        <v>207</v>
      </c>
      <c r="E5" s="178"/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179" t="s">
        <v>54</v>
      </c>
      <c r="X5" s="179"/>
      <c r="Y5" s="177" t="s">
        <v>33</v>
      </c>
      <c r="Z5" s="177"/>
      <c r="AA5" s="177" t="s">
        <v>34</v>
      </c>
      <c r="AB5" s="177"/>
    </row>
    <row r="6" spans="1:29">
      <c r="A6" s="176"/>
      <c r="B6" s="176"/>
      <c r="C6" s="176"/>
      <c r="D6" s="48" t="s">
        <v>35</v>
      </c>
      <c r="E6" s="48" t="s">
        <v>36</v>
      </c>
      <c r="F6" s="48" t="s">
        <v>37</v>
      </c>
      <c r="G6" s="48" t="s">
        <v>38</v>
      </c>
      <c r="H6" s="48" t="s">
        <v>39</v>
      </c>
      <c r="I6" s="48" t="s">
        <v>40</v>
      </c>
      <c r="J6" s="48" t="s">
        <v>41</v>
      </c>
      <c r="K6" s="48" t="s">
        <v>42</v>
      </c>
      <c r="L6" s="48" t="s">
        <v>43</v>
      </c>
      <c r="M6" s="48" t="s">
        <v>44</v>
      </c>
      <c r="N6" s="48" t="s">
        <v>45</v>
      </c>
      <c r="O6" s="48" t="s">
        <v>46</v>
      </c>
      <c r="P6" s="48" t="s">
        <v>47</v>
      </c>
      <c r="Q6" s="48" t="s">
        <v>48</v>
      </c>
      <c r="R6" s="48" t="s">
        <v>49</v>
      </c>
      <c r="S6" s="48" t="s">
        <v>50</v>
      </c>
      <c r="T6" s="48" t="s">
        <v>51</v>
      </c>
      <c r="U6" s="49" t="s">
        <v>52</v>
      </c>
      <c r="V6" s="49" t="s">
        <v>53</v>
      </c>
      <c r="W6" s="179"/>
      <c r="X6" s="179"/>
      <c r="Y6" s="46" t="s">
        <v>55</v>
      </c>
      <c r="Z6" s="46" t="s">
        <v>54</v>
      </c>
      <c r="AA6" s="47" t="s">
        <v>55</v>
      </c>
      <c r="AB6" s="47" t="s">
        <v>54</v>
      </c>
    </row>
    <row r="7" spans="1:29">
      <c r="A7" s="50">
        <v>1</v>
      </c>
      <c r="B7" s="42"/>
      <c r="C7" s="40" t="s">
        <v>56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25"/>
      <c r="X7" s="16"/>
      <c r="Y7" s="16"/>
      <c r="Z7" s="83">
        <f>Z8+Z10</f>
        <v>22238.181499999995</v>
      </c>
      <c r="AA7" s="16"/>
      <c r="AB7" s="84">
        <f>AB8+AB10</f>
        <v>23704.9611</v>
      </c>
      <c r="AC7" s="17"/>
    </row>
    <row r="8" spans="1:29">
      <c r="A8" s="51" t="s">
        <v>208</v>
      </c>
      <c r="B8" s="43"/>
      <c r="C8" s="41" t="s">
        <v>57</v>
      </c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70"/>
      <c r="X8" s="18"/>
      <c r="Y8" s="18"/>
      <c r="Z8" s="81">
        <f>Z9</f>
        <v>1356.4512</v>
      </c>
      <c r="AA8" s="18"/>
      <c r="AB8" s="81">
        <f>AB9</f>
        <v>1372.4351999999999</v>
      </c>
      <c r="AC8" s="17"/>
    </row>
    <row r="9" spans="1:29">
      <c r="A9" s="2" t="s">
        <v>209</v>
      </c>
      <c r="B9" s="39" t="s">
        <v>58</v>
      </c>
      <c r="C9" s="39" t="s">
        <v>59</v>
      </c>
      <c r="D9" s="68" t="s">
        <v>60</v>
      </c>
      <c r="E9" s="68"/>
      <c r="F9" s="15">
        <f>1.2*2.4</f>
        <v>2.88</v>
      </c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15">
        <f>SUM(D9:V9)</f>
        <v>2.88</v>
      </c>
      <c r="X9" s="24" t="s">
        <v>24</v>
      </c>
      <c r="Y9" s="66" t="s">
        <v>61</v>
      </c>
      <c r="Z9" s="72">
        <f>W9*Y9</f>
        <v>1356.4512</v>
      </c>
      <c r="AA9" s="21" t="s">
        <v>62</v>
      </c>
      <c r="AB9" s="22">
        <f>W9*AA9</f>
        <v>1372.4351999999999</v>
      </c>
      <c r="AC9" s="17"/>
    </row>
    <row r="10" spans="1:29">
      <c r="A10" s="52" t="s">
        <v>210</v>
      </c>
      <c r="B10" s="44"/>
      <c r="C10" s="44" t="s">
        <v>63</v>
      </c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23"/>
      <c r="Y10" s="73"/>
      <c r="Z10" s="82">
        <f>SUM(Z11:Z20)</f>
        <v>20881.730299999996</v>
      </c>
      <c r="AA10" s="82"/>
      <c r="AB10" s="82">
        <f t="shared" ref="AB10" si="0">SUM(AB11:AB20)</f>
        <v>22332.525900000001</v>
      </c>
      <c r="AC10" s="17"/>
    </row>
    <row r="11" spans="1:29">
      <c r="A11" s="45" t="s">
        <v>211</v>
      </c>
      <c r="B11" s="19" t="s">
        <v>64</v>
      </c>
      <c r="C11" s="19" t="s">
        <v>65</v>
      </c>
      <c r="D11" s="15" t="s">
        <v>60</v>
      </c>
      <c r="E11" s="15"/>
      <c r="F11" s="15">
        <f>24.21</f>
        <v>24.21</v>
      </c>
      <c r="G11" s="15">
        <f>6.19</f>
        <v>6.19</v>
      </c>
      <c r="H11" s="15">
        <f>12.44</f>
        <v>12.44</v>
      </c>
      <c r="I11" s="15"/>
      <c r="J11" s="15"/>
      <c r="K11" s="15">
        <f>3.6</f>
        <v>3.6</v>
      </c>
      <c r="L11" s="15"/>
      <c r="M11" s="15"/>
      <c r="N11" s="15"/>
      <c r="O11" s="15"/>
      <c r="P11" s="15"/>
      <c r="Q11" s="15">
        <f>13.43+3.3+0.36</f>
        <v>17.09</v>
      </c>
      <c r="R11" s="15"/>
      <c r="S11" s="15">
        <v>6.49</v>
      </c>
      <c r="T11" s="15"/>
      <c r="U11" s="15"/>
      <c r="V11" s="15"/>
      <c r="W11" s="15">
        <f>SUM(D11:V11)</f>
        <v>70.02</v>
      </c>
      <c r="X11" s="24" t="s">
        <v>24</v>
      </c>
      <c r="Y11" s="66" t="s">
        <v>66</v>
      </c>
      <c r="Z11" s="72">
        <f t="shared" ref="Z11:Z20" si="1">W11*Y11</f>
        <v>576.26459999999997</v>
      </c>
      <c r="AA11" s="21" t="s">
        <v>67</v>
      </c>
      <c r="AB11" s="22">
        <f>W11*AA11</f>
        <v>640.68299999999999</v>
      </c>
      <c r="AC11" s="17"/>
    </row>
    <row r="12" spans="1:29">
      <c r="A12" s="45" t="s">
        <v>212</v>
      </c>
      <c r="B12" s="19" t="s">
        <v>68</v>
      </c>
      <c r="C12" s="19" t="s">
        <v>69</v>
      </c>
      <c r="D12" s="15"/>
      <c r="E12" s="15"/>
      <c r="F12" s="15">
        <f>90.38+16.71</f>
        <v>107.09</v>
      </c>
      <c r="G12" s="15">
        <f>77.89</f>
        <v>77.89</v>
      </c>
      <c r="H12" s="15">
        <f>95.78+32.72</f>
        <v>128.5</v>
      </c>
      <c r="I12" s="15">
        <f>80.85</f>
        <v>80.849999999999994</v>
      </c>
      <c r="J12" s="15">
        <f>97.69+30.02</f>
        <v>127.71</v>
      </c>
      <c r="K12" s="15">
        <f>80</f>
        <v>80</v>
      </c>
      <c r="L12" s="15">
        <f>99.54+102.54</f>
        <v>202.08</v>
      </c>
      <c r="M12" s="15">
        <f>56.08+10+10.76</f>
        <v>76.84</v>
      </c>
      <c r="N12" s="15"/>
      <c r="O12" s="15">
        <f>25.86+43.68</f>
        <v>69.539999999999992</v>
      </c>
      <c r="P12" s="15">
        <f>100+37.45</f>
        <v>137.44999999999999</v>
      </c>
      <c r="Q12" s="15"/>
      <c r="R12" s="15">
        <f>20.62+9</f>
        <v>29.62</v>
      </c>
      <c r="S12" s="15"/>
      <c r="T12" s="15"/>
      <c r="U12" s="15"/>
      <c r="V12" s="15"/>
      <c r="W12" s="15">
        <f t="shared" ref="W12:W19" si="2">SUM(D12:V12)</f>
        <v>1117.57</v>
      </c>
      <c r="X12" s="24" t="s">
        <v>24</v>
      </c>
      <c r="Y12" s="66">
        <v>7.41</v>
      </c>
      <c r="Z12" s="72">
        <f t="shared" si="1"/>
        <v>8281.1936999999998</v>
      </c>
      <c r="AA12" s="21">
        <v>8.2200000000000006</v>
      </c>
      <c r="AB12" s="22">
        <f t="shared" ref="AB12:AB20" si="3">W12*AA12</f>
        <v>9186.4254000000001</v>
      </c>
      <c r="AC12" s="17"/>
    </row>
    <row r="13" spans="1:29">
      <c r="A13" s="45" t="s">
        <v>213</v>
      </c>
      <c r="B13" s="19" t="s">
        <v>70</v>
      </c>
      <c r="C13" s="19" t="s">
        <v>71</v>
      </c>
      <c r="D13" s="15" t="s">
        <v>60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>
        <f>7.75</f>
        <v>7.75</v>
      </c>
      <c r="S13" s="15"/>
      <c r="T13" s="15"/>
      <c r="U13" s="15"/>
      <c r="V13" s="15"/>
      <c r="W13" s="15">
        <f t="shared" si="2"/>
        <v>7.75</v>
      </c>
      <c r="X13" s="24" t="s">
        <v>24</v>
      </c>
      <c r="Y13" s="66" t="s">
        <v>72</v>
      </c>
      <c r="Z13" s="72">
        <f t="shared" si="1"/>
        <v>19.84</v>
      </c>
      <c r="AA13" s="21" t="s">
        <v>73</v>
      </c>
      <c r="AB13" s="22">
        <f t="shared" si="3"/>
        <v>22.087500000000002</v>
      </c>
      <c r="AC13" s="17"/>
    </row>
    <row r="14" spans="1:29">
      <c r="A14" s="45" t="s">
        <v>214</v>
      </c>
      <c r="B14" s="19" t="s">
        <v>74</v>
      </c>
      <c r="C14" s="19" t="s">
        <v>75</v>
      </c>
      <c r="D14" s="15" t="s">
        <v>60</v>
      </c>
      <c r="E14" s="15">
        <v>2.16</v>
      </c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>
        <f t="shared" si="2"/>
        <v>2.16</v>
      </c>
      <c r="X14" s="15" t="s">
        <v>24</v>
      </c>
      <c r="Y14" s="66" t="s">
        <v>76</v>
      </c>
      <c r="Z14" s="72">
        <f t="shared" si="1"/>
        <v>19.807200000000002</v>
      </c>
      <c r="AA14" s="21" t="s">
        <v>77</v>
      </c>
      <c r="AB14" s="22">
        <f t="shared" si="3"/>
        <v>22.053600000000003</v>
      </c>
      <c r="AC14" s="17"/>
    </row>
    <row r="15" spans="1:29">
      <c r="A15" s="45" t="s">
        <v>215</v>
      </c>
      <c r="B15" s="19" t="s">
        <v>78</v>
      </c>
      <c r="C15" s="19" t="s">
        <v>79</v>
      </c>
      <c r="D15" s="15" t="s">
        <v>60</v>
      </c>
      <c r="E15" s="15">
        <f>0.3</f>
        <v>0.3</v>
      </c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>
        <f t="shared" si="2"/>
        <v>0.3</v>
      </c>
      <c r="X15" s="15" t="s">
        <v>80</v>
      </c>
      <c r="Y15" s="66" t="s">
        <v>81</v>
      </c>
      <c r="Z15" s="72">
        <f t="shared" si="1"/>
        <v>19.836000000000002</v>
      </c>
      <c r="AA15" s="21" t="s">
        <v>82</v>
      </c>
      <c r="AB15" s="22">
        <f t="shared" si="3"/>
        <v>20.297999999999998</v>
      </c>
      <c r="AC15" s="17"/>
    </row>
    <row r="16" spans="1:29">
      <c r="A16" s="45" t="s">
        <v>216</v>
      </c>
      <c r="B16" s="19" t="s">
        <v>83</v>
      </c>
      <c r="C16" s="19" t="s">
        <v>84</v>
      </c>
      <c r="D16" s="15" t="s">
        <v>60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>
        <f>59.54</f>
        <v>59.54</v>
      </c>
      <c r="T16" s="15">
        <f>123</f>
        <v>123</v>
      </c>
      <c r="U16" s="15"/>
      <c r="V16" s="15"/>
      <c r="W16" s="15">
        <f t="shared" si="2"/>
        <v>182.54</v>
      </c>
      <c r="X16" s="15" t="s">
        <v>24</v>
      </c>
      <c r="Y16" s="66" t="s">
        <v>85</v>
      </c>
      <c r="Z16" s="72">
        <f t="shared" si="1"/>
        <v>815.95379999999989</v>
      </c>
      <c r="AA16" s="21" t="s">
        <v>86</v>
      </c>
      <c r="AB16" s="22">
        <f t="shared" si="3"/>
        <v>905.39839999999992</v>
      </c>
      <c r="AC16" s="17"/>
    </row>
    <row r="17" spans="1:30">
      <c r="A17" s="45" t="s">
        <v>217</v>
      </c>
      <c r="B17" s="19" t="s">
        <v>87</v>
      </c>
      <c r="C17" s="19" t="s">
        <v>88</v>
      </c>
      <c r="D17" s="15" t="s">
        <v>60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>
        <f>59.54</f>
        <v>59.54</v>
      </c>
      <c r="T17" s="15"/>
      <c r="U17" s="15"/>
      <c r="V17" s="15"/>
      <c r="W17" s="15">
        <f t="shared" si="2"/>
        <v>59.54</v>
      </c>
      <c r="X17" s="15" t="s">
        <v>24</v>
      </c>
      <c r="Y17" s="66" t="s">
        <v>89</v>
      </c>
      <c r="Z17" s="72">
        <f t="shared" si="1"/>
        <v>574.56100000000004</v>
      </c>
      <c r="AA17" s="21" t="s">
        <v>90</v>
      </c>
      <c r="AB17" s="22">
        <f t="shared" si="3"/>
        <v>637.07799999999997</v>
      </c>
      <c r="AC17" s="17"/>
    </row>
    <row r="18" spans="1:30">
      <c r="A18" s="45" t="s">
        <v>218</v>
      </c>
      <c r="B18" s="19" t="s">
        <v>91</v>
      </c>
      <c r="C18" s="19" t="s">
        <v>92</v>
      </c>
      <c r="D18" s="15" t="s">
        <v>60</v>
      </c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>
        <f>123*0.6</f>
        <v>73.8</v>
      </c>
      <c r="U18" s="15"/>
      <c r="V18" s="15"/>
      <c r="W18" s="15">
        <f t="shared" si="2"/>
        <v>73.8</v>
      </c>
      <c r="X18" s="15" t="s">
        <v>24</v>
      </c>
      <c r="Y18" s="66" t="s">
        <v>93</v>
      </c>
      <c r="Z18" s="72">
        <f t="shared" si="1"/>
        <v>2976.3539999999998</v>
      </c>
      <c r="AA18" s="21" t="s">
        <v>94</v>
      </c>
      <c r="AB18" s="22">
        <f t="shared" si="3"/>
        <v>3154.212</v>
      </c>
      <c r="AC18" s="17"/>
    </row>
    <row r="19" spans="1:30">
      <c r="A19" s="45" t="s">
        <v>219</v>
      </c>
      <c r="B19" s="19" t="s">
        <v>95</v>
      </c>
      <c r="C19" s="19" t="s">
        <v>96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>
        <f>123</f>
        <v>123</v>
      </c>
      <c r="U19" s="15"/>
      <c r="V19" s="15"/>
      <c r="W19" s="15">
        <f t="shared" si="2"/>
        <v>123</v>
      </c>
      <c r="X19" s="15" t="s">
        <v>24</v>
      </c>
      <c r="Y19" s="66">
        <v>10.84</v>
      </c>
      <c r="Z19" s="72">
        <f t="shared" si="1"/>
        <v>1333.32</v>
      </c>
      <c r="AA19" s="21">
        <v>12.03</v>
      </c>
      <c r="AB19" s="22">
        <f t="shared" si="3"/>
        <v>1479.6899999999998</v>
      </c>
      <c r="AC19" s="17"/>
    </row>
    <row r="20" spans="1:30">
      <c r="A20" s="45" t="s">
        <v>220</v>
      </c>
      <c r="B20" s="19" t="s">
        <v>68</v>
      </c>
      <c r="C20" s="19" t="s">
        <v>97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>
        <v>12</v>
      </c>
      <c r="X20" s="24" t="s">
        <v>98</v>
      </c>
      <c r="Y20" s="66">
        <v>522.04999999999995</v>
      </c>
      <c r="Z20" s="72">
        <f t="shared" si="1"/>
        <v>6264.5999999999995</v>
      </c>
      <c r="AA20" s="21">
        <v>522.04999999999995</v>
      </c>
      <c r="AB20" s="22">
        <f t="shared" si="3"/>
        <v>6264.5999999999995</v>
      </c>
      <c r="AC20" s="17"/>
    </row>
    <row r="21" spans="1:30">
      <c r="A21" s="50">
        <v>2</v>
      </c>
      <c r="B21" s="42"/>
      <c r="C21" s="40" t="s">
        <v>19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16"/>
      <c r="Y21" s="74"/>
      <c r="Z21" s="87">
        <f>Z22+Z30+Z35+Z42+Z53</f>
        <v>466278.71039999992</v>
      </c>
      <c r="AA21" s="87"/>
      <c r="AB21" s="87">
        <f t="shared" ref="AB21" si="4">AB22+AB30+AB35+AB42+AB53</f>
        <v>479634.71709999995</v>
      </c>
      <c r="AC21" s="17"/>
    </row>
    <row r="22" spans="1:30">
      <c r="A22" s="51" t="s">
        <v>8</v>
      </c>
      <c r="B22" s="43"/>
      <c r="C22" s="41" t="s">
        <v>20</v>
      </c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18"/>
      <c r="Y22" s="75"/>
      <c r="Z22" s="85">
        <f>SUM(Z23:Z29)</f>
        <v>68409.274300000005</v>
      </c>
      <c r="AA22" s="85"/>
      <c r="AB22" s="85">
        <f t="shared" ref="AB22" si="5">SUM(AB23:AB29)</f>
        <v>72770.769499999995</v>
      </c>
      <c r="AC22" s="17"/>
    </row>
    <row r="23" spans="1:30">
      <c r="A23" s="45" t="s">
        <v>221</v>
      </c>
      <c r="B23" s="19" t="s">
        <v>99</v>
      </c>
      <c r="C23" s="19" t="s">
        <v>100</v>
      </c>
      <c r="D23" s="15">
        <f>175.47+65.91+10.73+48.48</f>
        <v>300.58999999999997</v>
      </c>
      <c r="E23" s="15">
        <f>96.07+23.59+12.58</f>
        <v>132.24</v>
      </c>
      <c r="F23" s="15">
        <f>84.04+39.82</f>
        <v>123.86000000000001</v>
      </c>
      <c r="G23" s="15">
        <f>89.96</f>
        <v>89.96</v>
      </c>
      <c r="H23" s="15">
        <f>135.86+86.98</f>
        <v>222.84000000000003</v>
      </c>
      <c r="I23" s="15">
        <f>129.89</f>
        <v>129.88999999999999</v>
      </c>
      <c r="J23" s="15">
        <f>129.61+82.12</f>
        <v>211.73000000000002</v>
      </c>
      <c r="K23" s="15">
        <f>84.68</f>
        <v>84.68</v>
      </c>
      <c r="L23" s="15">
        <f>129.03+82.53</f>
        <v>211.56</v>
      </c>
      <c r="M23" s="15">
        <f>73.86+24.59+26.43+7.6+74.43</f>
        <v>206.91</v>
      </c>
      <c r="N23" s="15">
        <f>43.17+40.26+21.72+28.69+39.45</f>
        <v>173.29000000000002</v>
      </c>
      <c r="O23" s="15">
        <f>47.38+54.6</f>
        <v>101.98</v>
      </c>
      <c r="P23" s="15">
        <f>96.62+104.4</f>
        <v>201.02</v>
      </c>
      <c r="Q23" s="15">
        <f>26.53+58.46+47.9</f>
        <v>132.89000000000001</v>
      </c>
      <c r="R23" s="15">
        <f>54.87+12.14+19+18.25+28+49.26+54.54+40.64</f>
        <v>276.7</v>
      </c>
      <c r="S23" s="15"/>
      <c r="T23" s="15"/>
      <c r="U23" s="15"/>
      <c r="V23" s="15"/>
      <c r="W23" s="15">
        <f>SUM(D23:V23)</f>
        <v>2600.14</v>
      </c>
      <c r="X23" s="24" t="s">
        <v>24</v>
      </c>
      <c r="Y23" s="66" t="s">
        <v>101</v>
      </c>
      <c r="Z23" s="72">
        <f>W23*Y23</f>
        <v>36349.957199999997</v>
      </c>
      <c r="AA23" s="21" t="s">
        <v>102</v>
      </c>
      <c r="AB23" s="22">
        <f>W23*AA23</f>
        <v>38378.066399999996</v>
      </c>
      <c r="AC23" s="17"/>
    </row>
    <row r="24" spans="1:30">
      <c r="A24" s="45" t="s">
        <v>222</v>
      </c>
      <c r="B24" s="19">
        <v>88495</v>
      </c>
      <c r="C24" s="19" t="s">
        <v>103</v>
      </c>
      <c r="D24" s="15">
        <f>34.09+50+1.75</f>
        <v>85.84</v>
      </c>
      <c r="E24" s="15">
        <f>12.58+20</f>
        <v>32.58</v>
      </c>
      <c r="F24" s="15">
        <f>84.04+16</f>
        <v>100.04</v>
      </c>
      <c r="G24" s="15">
        <f>0.28+27.06</f>
        <v>27.34</v>
      </c>
      <c r="H24" s="15">
        <f>43.68+5</f>
        <v>48.68</v>
      </c>
      <c r="I24" s="15">
        <f>25.48+10.32+2+4</f>
        <v>41.8</v>
      </c>
      <c r="J24" s="15">
        <f>40.28+0.02</f>
        <v>40.300000000000004</v>
      </c>
      <c r="K24" s="15">
        <f>3.6+18.06+4</f>
        <v>25.66</v>
      </c>
      <c r="L24" s="15">
        <f>28.63+6.04+0.8+7</f>
        <v>42.47</v>
      </c>
      <c r="M24" s="15">
        <f>19.68+8+2+5</f>
        <v>34.68</v>
      </c>
      <c r="N24" s="15">
        <f>6.77+6</f>
        <v>12.77</v>
      </c>
      <c r="O24" s="15">
        <f>5+54.6</f>
        <v>59.6</v>
      </c>
      <c r="P24" s="15">
        <f>36.26+0.84+2</f>
        <v>39.1</v>
      </c>
      <c r="Q24" s="15">
        <f>26.53+58.46+11.08</f>
        <v>96.070000000000007</v>
      </c>
      <c r="R24" s="15">
        <f>3+1+2+14.4+9.71+17.49</f>
        <v>47.599999999999994</v>
      </c>
      <c r="S24" s="15"/>
      <c r="T24" s="15"/>
      <c r="U24" s="15"/>
      <c r="V24" s="15"/>
      <c r="W24" s="15">
        <f t="shared" ref="W24:W29" si="6">SUM(D24:V24)</f>
        <v>734.53000000000009</v>
      </c>
      <c r="X24" s="24" t="s">
        <v>24</v>
      </c>
      <c r="Y24" s="66" t="s">
        <v>104</v>
      </c>
      <c r="Z24" s="72">
        <f t="shared" ref="Z24:Z50" si="7">W24*Y24</f>
        <v>10232.002900000001</v>
      </c>
      <c r="AA24" s="21" t="s">
        <v>105</v>
      </c>
      <c r="AB24" s="22">
        <f t="shared" ref="AB24:AB29" si="8">W24*AA24</f>
        <v>11098.748300000001</v>
      </c>
      <c r="AC24" s="17"/>
    </row>
    <row r="25" spans="1:30">
      <c r="A25" s="45" t="s">
        <v>223</v>
      </c>
      <c r="B25" s="19">
        <v>88485</v>
      </c>
      <c r="C25" s="19" t="s">
        <v>106</v>
      </c>
      <c r="D25" s="15">
        <f>175.47+65.91+10.73+48.48</f>
        <v>300.58999999999997</v>
      </c>
      <c r="E25" s="15">
        <f>96.07+23.59+12.58</f>
        <v>132.24</v>
      </c>
      <c r="F25" s="15">
        <f>84.04+39.82</f>
        <v>123.86000000000001</v>
      </c>
      <c r="G25" s="15">
        <f>89.96</f>
        <v>89.96</v>
      </c>
      <c r="H25" s="15">
        <f>135.86+86.98</f>
        <v>222.84000000000003</v>
      </c>
      <c r="I25" s="15">
        <f>129.89</f>
        <v>129.88999999999999</v>
      </c>
      <c r="J25" s="15">
        <f>129.61+82.12</f>
        <v>211.73000000000002</v>
      </c>
      <c r="K25" s="15">
        <f>84.68</f>
        <v>84.68</v>
      </c>
      <c r="L25" s="15">
        <f>129.03+82.53</f>
        <v>211.56</v>
      </c>
      <c r="M25" s="15">
        <f>73.86+24.59+26.43+7.6+74.43</f>
        <v>206.91</v>
      </c>
      <c r="N25" s="15">
        <f>43.17+40.26+21.72+28.69+39.45</f>
        <v>173.29000000000002</v>
      </c>
      <c r="O25" s="15">
        <f>47.38+54.6</f>
        <v>101.98</v>
      </c>
      <c r="P25" s="15">
        <f>96.62+104.4</f>
        <v>201.02</v>
      </c>
      <c r="Q25" s="15">
        <f>26.53+58.46+47.9</f>
        <v>132.89000000000001</v>
      </c>
      <c r="R25" s="15">
        <f>54.87+28+49.26+54.54+40.64</f>
        <v>227.31</v>
      </c>
      <c r="S25" s="15"/>
      <c r="T25" s="15"/>
      <c r="U25" s="15"/>
      <c r="V25" s="15"/>
      <c r="W25" s="15">
        <f t="shared" si="6"/>
        <v>2550.75</v>
      </c>
      <c r="X25" s="24" t="s">
        <v>24</v>
      </c>
      <c r="Y25" s="66" t="s">
        <v>107</v>
      </c>
      <c r="Z25" s="72">
        <f t="shared" si="7"/>
        <v>12626.2125</v>
      </c>
      <c r="AA25" s="21" t="s">
        <v>108</v>
      </c>
      <c r="AB25" s="22">
        <f t="shared" si="8"/>
        <v>13416.945</v>
      </c>
      <c r="AC25" s="17"/>
    </row>
    <row r="26" spans="1:30">
      <c r="A26" s="45" t="s">
        <v>224</v>
      </c>
      <c r="B26" s="19" t="s">
        <v>109</v>
      </c>
      <c r="C26" s="19" t="s">
        <v>110</v>
      </c>
      <c r="D26" s="15">
        <f>34.09+1.75</f>
        <v>35.840000000000003</v>
      </c>
      <c r="E26" s="15">
        <f>1.2</f>
        <v>1.2</v>
      </c>
      <c r="F26" s="15">
        <f>24.21</f>
        <v>24.21</v>
      </c>
      <c r="G26" s="15">
        <f>6.19</f>
        <v>6.19</v>
      </c>
      <c r="H26" s="15">
        <f>12.44</f>
        <v>12.44</v>
      </c>
      <c r="I26" s="15"/>
      <c r="J26" s="15"/>
      <c r="K26" s="15">
        <f>3.6</f>
        <v>3.6</v>
      </c>
      <c r="L26" s="15"/>
      <c r="M26" s="15"/>
      <c r="N26" s="15"/>
      <c r="O26" s="15"/>
      <c r="P26" s="15"/>
      <c r="Q26" s="15">
        <f>13.43+3.3+0.36</f>
        <v>17.09</v>
      </c>
      <c r="R26" s="15"/>
      <c r="S26" s="15"/>
      <c r="T26" s="15"/>
      <c r="U26" s="15"/>
      <c r="V26" s="15"/>
      <c r="W26" s="15">
        <f>SUM(D26:V26)</f>
        <v>100.57000000000001</v>
      </c>
      <c r="X26" s="24" t="s">
        <v>24</v>
      </c>
      <c r="Y26" s="66" t="s">
        <v>111</v>
      </c>
      <c r="Z26" s="72">
        <f t="shared" si="7"/>
        <v>4066.0451000000003</v>
      </c>
      <c r="AA26" s="21" t="s">
        <v>112</v>
      </c>
      <c r="AB26" s="22">
        <f t="shared" si="8"/>
        <v>4367.7551000000003</v>
      </c>
      <c r="AC26" s="17"/>
      <c r="AD26" s="28"/>
    </row>
    <row r="27" spans="1:30">
      <c r="A27" s="45" t="s">
        <v>225</v>
      </c>
      <c r="B27" s="19" t="s">
        <v>113</v>
      </c>
      <c r="C27" s="19" t="s">
        <v>114</v>
      </c>
      <c r="D27" s="15">
        <f>35.84</f>
        <v>35.840000000000003</v>
      </c>
      <c r="E27" s="15">
        <v>1.2</v>
      </c>
      <c r="F27" s="15">
        <v>24.21</v>
      </c>
      <c r="G27" s="15">
        <v>6.19</v>
      </c>
      <c r="H27" s="15">
        <v>12.44</v>
      </c>
      <c r="I27" s="15"/>
      <c r="J27" s="15"/>
      <c r="K27" s="15">
        <v>3.6</v>
      </c>
      <c r="L27" s="15"/>
      <c r="M27" s="15"/>
      <c r="N27" s="15"/>
      <c r="O27" s="15"/>
      <c r="P27" s="15"/>
      <c r="Q27" s="15">
        <v>17.09</v>
      </c>
      <c r="R27" s="15"/>
      <c r="S27" s="15"/>
      <c r="T27" s="15"/>
      <c r="U27" s="15"/>
      <c r="V27" s="15"/>
      <c r="W27" s="15">
        <f t="shared" si="6"/>
        <v>100.57000000000001</v>
      </c>
      <c r="X27" s="24" t="s">
        <v>24</v>
      </c>
      <c r="Y27" s="66">
        <v>48.94</v>
      </c>
      <c r="Z27" s="72">
        <f t="shared" si="7"/>
        <v>4921.8958000000002</v>
      </c>
      <c r="AA27" s="21">
        <v>52.57</v>
      </c>
      <c r="AB27" s="22">
        <f t="shared" si="8"/>
        <v>5286.9649000000009</v>
      </c>
      <c r="AC27" s="17"/>
      <c r="AD27" s="28"/>
    </row>
    <row r="28" spans="1:30">
      <c r="A28" s="45" t="s">
        <v>226</v>
      </c>
      <c r="B28" s="34" t="s">
        <v>291</v>
      </c>
      <c r="C28" s="34" t="s">
        <v>292</v>
      </c>
      <c r="D28" s="15" t="s">
        <v>60</v>
      </c>
      <c r="E28" s="15">
        <v>1.07</v>
      </c>
      <c r="F28" s="15"/>
      <c r="G28" s="15"/>
      <c r="H28" s="15"/>
      <c r="I28" s="15"/>
      <c r="J28" s="15"/>
      <c r="K28" s="15"/>
      <c r="L28" s="15"/>
      <c r="M28" s="15"/>
      <c r="N28" s="15">
        <v>5.83</v>
      </c>
      <c r="O28" s="15"/>
      <c r="P28" s="15"/>
      <c r="Q28" s="15"/>
      <c r="R28" s="15"/>
      <c r="S28" s="15"/>
      <c r="T28" s="15"/>
      <c r="U28" s="15"/>
      <c r="V28" s="15"/>
      <c r="W28" s="15">
        <f t="shared" si="6"/>
        <v>6.9</v>
      </c>
      <c r="X28" s="24" t="s">
        <v>24</v>
      </c>
      <c r="Y28" s="67" t="s">
        <v>293</v>
      </c>
      <c r="Z28" s="72">
        <f t="shared" si="7"/>
        <v>67.481999999999999</v>
      </c>
      <c r="AA28" s="21">
        <v>10.5</v>
      </c>
      <c r="AB28" s="22">
        <f t="shared" si="8"/>
        <v>72.45</v>
      </c>
      <c r="AC28" s="17"/>
      <c r="AD28" s="28"/>
    </row>
    <row r="29" spans="1:30">
      <c r="A29" s="45" t="s">
        <v>290</v>
      </c>
      <c r="B29" s="53">
        <v>96370</v>
      </c>
      <c r="C29" s="19" t="s">
        <v>115</v>
      </c>
      <c r="D29" s="15" t="s">
        <v>60</v>
      </c>
      <c r="E29" s="15"/>
      <c r="F29" s="15">
        <f>1.36</f>
        <v>1.36</v>
      </c>
      <c r="G29" s="15">
        <f>0.28</f>
        <v>0.28000000000000003</v>
      </c>
      <c r="H29" s="15">
        <f>0.27</f>
        <v>0.27</v>
      </c>
      <c r="I29" s="15"/>
      <c r="J29" s="15">
        <f>0.02</f>
        <v>0.02</v>
      </c>
      <c r="K29" s="15"/>
      <c r="L29" s="15"/>
      <c r="M29" s="15"/>
      <c r="N29" s="15">
        <f>0.05</f>
        <v>0.05</v>
      </c>
      <c r="O29" s="15"/>
      <c r="P29" s="15"/>
      <c r="Q29" s="15">
        <f>0.21</f>
        <v>0.21</v>
      </c>
      <c r="R29" s="15"/>
      <c r="S29" s="15"/>
      <c r="T29" s="15"/>
      <c r="U29" s="15"/>
      <c r="V29" s="15"/>
      <c r="W29" s="15">
        <f t="shared" si="6"/>
        <v>2.1900000000000004</v>
      </c>
      <c r="X29" s="24" t="s">
        <v>24</v>
      </c>
      <c r="Y29" s="66" t="s">
        <v>116</v>
      </c>
      <c r="Z29" s="72">
        <f t="shared" si="7"/>
        <v>145.67880000000002</v>
      </c>
      <c r="AA29" s="21" t="s">
        <v>117</v>
      </c>
      <c r="AB29" s="22">
        <f t="shared" si="8"/>
        <v>149.83980000000003</v>
      </c>
      <c r="AC29" s="17"/>
    </row>
    <row r="30" spans="1:30">
      <c r="A30" s="51" t="s">
        <v>13</v>
      </c>
      <c r="B30" s="43"/>
      <c r="C30" s="26" t="s">
        <v>21</v>
      </c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76"/>
      <c r="Z30" s="86">
        <f>SUM(Z31:Z34)</f>
        <v>20437.864299999997</v>
      </c>
      <c r="AA30" s="86"/>
      <c r="AB30" s="86">
        <f t="shared" ref="AB30" si="9">SUM(AB31:AB34)</f>
        <v>21391.524499999996</v>
      </c>
      <c r="AC30" s="17"/>
    </row>
    <row r="31" spans="1:30">
      <c r="A31" s="45" t="s">
        <v>227</v>
      </c>
      <c r="B31" s="39">
        <v>95623</v>
      </c>
      <c r="C31" s="19" t="s">
        <v>118</v>
      </c>
      <c r="D31" s="24" t="s">
        <v>60</v>
      </c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>
        <f>6.49</f>
        <v>6.49</v>
      </c>
      <c r="T31" s="15"/>
      <c r="U31" s="15">
        <f>489.28</f>
        <v>489.28</v>
      </c>
      <c r="V31" s="15">
        <f>322.95+226.46</f>
        <v>549.41</v>
      </c>
      <c r="W31" s="15">
        <f>SUM(D31:V31)</f>
        <v>1045.1799999999998</v>
      </c>
      <c r="X31" s="15" t="s">
        <v>24</v>
      </c>
      <c r="Y31" s="66" t="s">
        <v>119</v>
      </c>
      <c r="Z31" s="60">
        <f>W31*Y31</f>
        <v>11758.274999999998</v>
      </c>
      <c r="AA31" s="21" t="s">
        <v>120</v>
      </c>
      <c r="AB31" s="29">
        <f>W31*AA31</f>
        <v>12364.479399999998</v>
      </c>
    </row>
    <row r="32" spans="1:30">
      <c r="A32" s="45" t="s">
        <v>228</v>
      </c>
      <c r="B32" s="19">
        <v>88412</v>
      </c>
      <c r="C32" s="19" t="s">
        <v>121</v>
      </c>
      <c r="D32" s="24" t="s">
        <v>60</v>
      </c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>
        <f>6.49</f>
        <v>6.49</v>
      </c>
      <c r="T32" s="15"/>
      <c r="U32" s="15">
        <f>489.28</f>
        <v>489.28</v>
      </c>
      <c r="V32" s="15">
        <f>322.95+226.46</f>
        <v>549.41</v>
      </c>
      <c r="W32" s="15">
        <f t="shared" ref="W32:W34" si="10">SUM(D32:V32)</f>
        <v>1045.1799999999998</v>
      </c>
      <c r="X32" s="15" t="s">
        <v>24</v>
      </c>
      <c r="Y32" s="66" t="s">
        <v>122</v>
      </c>
      <c r="Z32" s="60">
        <f>W32*Y32</f>
        <v>4954.1531999999997</v>
      </c>
      <c r="AA32" s="21" t="s">
        <v>123</v>
      </c>
      <c r="AB32" s="29">
        <f t="shared" ref="AB32:AB34" si="11">W32*AA32</f>
        <v>5100.4783999999991</v>
      </c>
    </row>
    <row r="33" spans="1:28">
      <c r="A33" s="45" t="s">
        <v>229</v>
      </c>
      <c r="B33" s="19">
        <v>87794</v>
      </c>
      <c r="C33" s="19" t="s">
        <v>124</v>
      </c>
      <c r="D33" s="15" t="s">
        <v>60</v>
      </c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>
        <f>6.49</f>
        <v>6.49</v>
      </c>
      <c r="T33" s="15"/>
      <c r="U33" s="15"/>
      <c r="V33" s="15">
        <f>1.2</f>
        <v>1.2</v>
      </c>
      <c r="W33" s="15">
        <f t="shared" si="10"/>
        <v>7.69</v>
      </c>
      <c r="X33" s="15" t="s">
        <v>24</v>
      </c>
      <c r="Y33" s="66" t="s">
        <v>125</v>
      </c>
      <c r="Z33" s="60">
        <f>W33*Y33</f>
        <v>382.11610000000002</v>
      </c>
      <c r="AA33" s="21" t="s">
        <v>126</v>
      </c>
      <c r="AB33" s="29">
        <f t="shared" si="11"/>
        <v>410.87670000000003</v>
      </c>
    </row>
    <row r="34" spans="1:28">
      <c r="A34" s="45" t="s">
        <v>230</v>
      </c>
      <c r="B34" s="54" t="s">
        <v>127</v>
      </c>
      <c r="C34" s="19" t="s">
        <v>128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>
        <v>0.47</v>
      </c>
      <c r="V34" s="15">
        <v>0.53</v>
      </c>
      <c r="W34" s="15">
        <f t="shared" si="10"/>
        <v>1</v>
      </c>
      <c r="X34" s="15" t="s">
        <v>129</v>
      </c>
      <c r="Y34" s="66">
        <v>3343.32</v>
      </c>
      <c r="Z34" s="60">
        <f>W34*Y34</f>
        <v>3343.32</v>
      </c>
      <c r="AA34" s="21">
        <v>3515.69</v>
      </c>
      <c r="AB34" s="29">
        <f t="shared" si="11"/>
        <v>3515.69</v>
      </c>
    </row>
    <row r="35" spans="1:28">
      <c r="A35" s="51" t="s">
        <v>14</v>
      </c>
      <c r="B35" s="43"/>
      <c r="C35" s="26" t="s">
        <v>22</v>
      </c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76"/>
      <c r="Z35" s="86">
        <f>SUM(Z36:Z41)</f>
        <v>68075.959300000002</v>
      </c>
      <c r="AA35" s="86"/>
      <c r="AB35" s="86">
        <f t="shared" ref="AB35" si="12">SUM(AB36:AB41)</f>
        <v>71327.177299999996</v>
      </c>
    </row>
    <row r="36" spans="1:28">
      <c r="A36" s="45" t="s">
        <v>231</v>
      </c>
      <c r="B36" s="39" t="s">
        <v>130</v>
      </c>
      <c r="C36" s="19" t="s">
        <v>131</v>
      </c>
      <c r="D36" s="15">
        <f>160.3+26.99+27.28</f>
        <v>214.57000000000002</v>
      </c>
      <c r="E36" s="15">
        <f>67.71+3.78+7.63+4.6+11.76</f>
        <v>95.47999999999999</v>
      </c>
      <c r="F36" s="15">
        <f>90.38+6.78+3.45+16.71-F41</f>
        <v>41.319999999999993</v>
      </c>
      <c r="G36" s="15">
        <f>77.89+9.33</f>
        <v>87.22</v>
      </c>
      <c r="H36" s="15">
        <f>7.31+95.78+32.72</f>
        <v>135.81</v>
      </c>
      <c r="I36" s="15">
        <f>80.85+7.45+9.52</f>
        <v>97.82</v>
      </c>
      <c r="J36" s="15">
        <f>97.69+30.02</f>
        <v>127.71</v>
      </c>
      <c r="K36" s="15">
        <f>9.53+80+9.86</f>
        <v>99.39</v>
      </c>
      <c r="L36" s="15">
        <f>99.54+102.54</f>
        <v>202.08</v>
      </c>
      <c r="M36" s="15">
        <f>56.08+10+10.76+3.08+6.42+6.3+32.06</f>
        <v>124.7</v>
      </c>
      <c r="N36" s="15">
        <f>20.71+23.1+14.7+16.5+20.93</f>
        <v>95.94</v>
      </c>
      <c r="O36" s="15">
        <f>9.33+7.71+25.86+43.68</f>
        <v>86.58</v>
      </c>
      <c r="P36" s="15">
        <f>100+37.45-P41</f>
        <v>59.209999999999994</v>
      </c>
      <c r="Q36" s="15">
        <f>52.86+12.44+2.59+1.72+14.18</f>
        <v>83.789999999999992</v>
      </c>
      <c r="R36" s="15">
        <f>18.64+1.77+3.92+2.88+7.75+20.62+19.8</f>
        <v>75.38</v>
      </c>
      <c r="S36" s="15"/>
      <c r="T36" s="15"/>
      <c r="U36" s="15"/>
      <c r="V36" s="15"/>
      <c r="W36" s="15">
        <f>SUM(D36:V36)</f>
        <v>1627</v>
      </c>
      <c r="X36" s="24" t="s">
        <v>24</v>
      </c>
      <c r="Y36" s="66" t="s">
        <v>132</v>
      </c>
      <c r="Z36" s="60">
        <f t="shared" si="7"/>
        <v>27284.79</v>
      </c>
      <c r="AA36" s="21" t="s">
        <v>133</v>
      </c>
      <c r="AB36" s="29">
        <f>W36*AA36</f>
        <v>29025.68</v>
      </c>
    </row>
    <row r="37" spans="1:28">
      <c r="A37" s="45" t="s">
        <v>232</v>
      </c>
      <c r="B37" s="19" t="s">
        <v>134</v>
      </c>
      <c r="C37" s="19" t="s">
        <v>135</v>
      </c>
      <c r="D37" s="15">
        <f>3</f>
        <v>3</v>
      </c>
      <c r="E37" s="15">
        <f>3.65+4.6+11.76+8</f>
        <v>28.009999999999998</v>
      </c>
      <c r="F37" s="15">
        <f>41.32</f>
        <v>41.32</v>
      </c>
      <c r="G37" s="15">
        <f>2.36+4</f>
        <v>6.3599999999999994</v>
      </c>
      <c r="H37" s="15">
        <f>8</f>
        <v>8</v>
      </c>
      <c r="I37" s="24">
        <f>10+2</f>
        <v>12</v>
      </c>
      <c r="J37" s="15">
        <v>10</v>
      </c>
      <c r="K37" s="15">
        <f>2+3+9.86</f>
        <v>14.86</v>
      </c>
      <c r="L37" s="15">
        <v>10</v>
      </c>
      <c r="M37" s="15">
        <f>2+1+1+2.1+3.9</f>
        <v>10</v>
      </c>
      <c r="N37" s="15">
        <v>5</v>
      </c>
      <c r="O37" s="15">
        <f>0.5+0.5+1+1.28</f>
        <v>3.2800000000000002</v>
      </c>
      <c r="P37" s="15">
        <f>21.76+1</f>
        <v>22.76</v>
      </c>
      <c r="Q37" s="15">
        <f>1.12*4+5.69+2</f>
        <v>12.170000000000002</v>
      </c>
      <c r="R37" s="15">
        <f>1+3.92+7.75+1+3.7</f>
        <v>17.37</v>
      </c>
      <c r="S37" s="15"/>
      <c r="T37" s="15"/>
      <c r="U37" s="15"/>
      <c r="V37" s="15"/>
      <c r="W37" s="15">
        <f t="shared" ref="W37:W41" si="13">SUM(D37:V37)</f>
        <v>204.13</v>
      </c>
      <c r="X37" s="24" t="s">
        <v>24</v>
      </c>
      <c r="Y37" s="66" t="s">
        <v>136</v>
      </c>
      <c r="Z37" s="60">
        <f t="shared" si="7"/>
        <v>5146.1172999999999</v>
      </c>
      <c r="AA37" s="21" t="s">
        <v>137</v>
      </c>
      <c r="AB37" s="29">
        <f t="shared" ref="AB37:AB41" si="14">W37*AA37</f>
        <v>5638.0706</v>
      </c>
    </row>
    <row r="38" spans="1:28">
      <c r="A38" s="45" t="s">
        <v>233</v>
      </c>
      <c r="B38" s="19" t="s">
        <v>138</v>
      </c>
      <c r="C38" s="19" t="s">
        <v>139</v>
      </c>
      <c r="D38" s="15">
        <f>26.99</f>
        <v>26.99</v>
      </c>
      <c r="E38" s="15">
        <f>67.71+3.78+7.63+11.76</f>
        <v>90.88</v>
      </c>
      <c r="F38" s="15">
        <f>90.38+6.78+3.45+16.71-F41</f>
        <v>41.319999999999993</v>
      </c>
      <c r="G38" s="15">
        <f>77.89+9.33</f>
        <v>87.22</v>
      </c>
      <c r="H38" s="15">
        <f>7.31+95.78+32.72</f>
        <v>135.81</v>
      </c>
      <c r="I38" s="15">
        <f>80.85+7.45+9.52</f>
        <v>97.82</v>
      </c>
      <c r="J38" s="15">
        <f>97.69+30.02</f>
        <v>127.71</v>
      </c>
      <c r="K38" s="15">
        <f>99.39</f>
        <v>99.39</v>
      </c>
      <c r="L38" s="15">
        <f>202.08</f>
        <v>202.08</v>
      </c>
      <c r="M38" s="15">
        <f>124.7</f>
        <v>124.7</v>
      </c>
      <c r="N38" s="15">
        <f>20.71+23.1+14.7+16.5+20.93</f>
        <v>95.94</v>
      </c>
      <c r="O38" s="15">
        <f>86.58</f>
        <v>86.58</v>
      </c>
      <c r="P38" s="15">
        <f>137.45-P41</f>
        <v>59.209999999999994</v>
      </c>
      <c r="Q38" s="15">
        <f>52.86+12.44+2.59+1.72+14.18</f>
        <v>83.789999999999992</v>
      </c>
      <c r="R38" s="15">
        <f>75.38</f>
        <v>75.38</v>
      </c>
      <c r="S38" s="15"/>
      <c r="T38" s="15"/>
      <c r="U38" s="15"/>
      <c r="V38" s="15"/>
      <c r="W38" s="15">
        <f t="shared" si="13"/>
        <v>1434.8200000000002</v>
      </c>
      <c r="X38" s="24" t="s">
        <v>24</v>
      </c>
      <c r="Y38" s="66" t="s">
        <v>140</v>
      </c>
      <c r="Z38" s="60">
        <f t="shared" si="7"/>
        <v>8723.7056000000011</v>
      </c>
      <c r="AA38" s="21" t="s">
        <v>141</v>
      </c>
      <c r="AB38" s="29">
        <f t="shared" si="14"/>
        <v>9355.0264000000006</v>
      </c>
    </row>
    <row r="39" spans="1:28">
      <c r="A39" s="45" t="s">
        <v>234</v>
      </c>
      <c r="B39" s="34" t="s">
        <v>273</v>
      </c>
      <c r="C39" s="19" t="s">
        <v>274</v>
      </c>
      <c r="D39" s="15">
        <v>3</v>
      </c>
      <c r="E39" s="15"/>
      <c r="F39" s="15">
        <v>2</v>
      </c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>
        <f t="shared" ref="W39" si="15">SUM(D39:V39)</f>
        <v>5</v>
      </c>
      <c r="X39" s="24" t="s">
        <v>24</v>
      </c>
      <c r="Y39" s="67" t="s">
        <v>276</v>
      </c>
      <c r="Z39" s="60">
        <f t="shared" si="7"/>
        <v>92.5</v>
      </c>
      <c r="AA39" s="32" t="s">
        <v>275</v>
      </c>
      <c r="AB39" s="29">
        <f t="shared" si="14"/>
        <v>96.6</v>
      </c>
    </row>
    <row r="40" spans="1:28">
      <c r="A40" s="45" t="s">
        <v>235</v>
      </c>
      <c r="B40" s="19" t="s">
        <v>142</v>
      </c>
      <c r="C40" s="19" t="s">
        <v>143</v>
      </c>
      <c r="D40" s="15" t="s">
        <v>60</v>
      </c>
      <c r="E40" s="15">
        <f>3.65+0.6+4.6+11.76</f>
        <v>20.61</v>
      </c>
      <c r="F40" s="15">
        <f>41.32</f>
        <v>41.32</v>
      </c>
      <c r="G40" s="15">
        <f>0.4*0.4+2.36+0.36</f>
        <v>2.88</v>
      </c>
      <c r="H40" s="15"/>
      <c r="I40" s="15"/>
      <c r="J40" s="15"/>
      <c r="K40" s="15">
        <f>0.88+2.85+9.86</f>
        <v>13.59</v>
      </c>
      <c r="L40" s="15">
        <f>1.06</f>
        <v>1.06</v>
      </c>
      <c r="M40" s="15">
        <f>2.25+2.1</f>
        <v>4.3499999999999996</v>
      </c>
      <c r="N40" s="15"/>
      <c r="O40" s="15">
        <f>1.28</f>
        <v>1.28</v>
      </c>
      <c r="P40" s="15"/>
      <c r="Q40" s="15">
        <f>1.12+5.69</f>
        <v>6.8100000000000005</v>
      </c>
      <c r="R40" s="15">
        <f>3.92+7.75+3.7</f>
        <v>15.370000000000001</v>
      </c>
      <c r="S40" s="15"/>
      <c r="T40" s="15"/>
      <c r="U40" s="15"/>
      <c r="V40" s="15"/>
      <c r="W40" s="15">
        <f t="shared" si="13"/>
        <v>107.27000000000001</v>
      </c>
      <c r="X40" s="24" t="s">
        <v>24</v>
      </c>
      <c r="Y40" s="66" t="s">
        <v>144</v>
      </c>
      <c r="Z40" s="60">
        <f t="shared" si="7"/>
        <v>8907.7008000000023</v>
      </c>
      <c r="AA40" s="21" t="s">
        <v>145</v>
      </c>
      <c r="AB40" s="29">
        <f t="shared" si="14"/>
        <v>9290.654700000001</v>
      </c>
    </row>
    <row r="41" spans="1:28">
      <c r="A41" s="45" t="s">
        <v>272</v>
      </c>
      <c r="B41" s="54">
        <v>39512</v>
      </c>
      <c r="C41" s="19" t="s">
        <v>146</v>
      </c>
      <c r="D41" s="15" t="s">
        <v>60</v>
      </c>
      <c r="E41" s="15"/>
      <c r="F41" s="15">
        <f>76</f>
        <v>76</v>
      </c>
      <c r="G41" s="15"/>
      <c r="H41" s="15"/>
      <c r="I41" s="15"/>
      <c r="J41" s="15"/>
      <c r="K41" s="15"/>
      <c r="L41" s="15"/>
      <c r="M41" s="15"/>
      <c r="N41" s="15"/>
      <c r="O41" s="15"/>
      <c r="P41" s="15">
        <v>78.239999999999995</v>
      </c>
      <c r="Q41" s="15"/>
      <c r="R41" s="15"/>
      <c r="S41" s="15"/>
      <c r="T41" s="15"/>
      <c r="U41" s="15"/>
      <c r="V41" s="15"/>
      <c r="W41" s="15">
        <f t="shared" si="13"/>
        <v>154.24</v>
      </c>
      <c r="X41" s="24" t="s">
        <v>24</v>
      </c>
      <c r="Y41" s="66" t="s">
        <v>147</v>
      </c>
      <c r="Z41" s="60">
        <f t="shared" si="7"/>
        <v>17921.1456</v>
      </c>
      <c r="AA41" s="21" t="s">
        <v>147</v>
      </c>
      <c r="AB41" s="29">
        <f t="shared" si="14"/>
        <v>17921.1456</v>
      </c>
    </row>
    <row r="42" spans="1:28">
      <c r="A42" s="51" t="s">
        <v>15</v>
      </c>
      <c r="B42" s="43"/>
      <c r="C42" s="26" t="s">
        <v>23</v>
      </c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76"/>
      <c r="Z42" s="86">
        <f>SUM(Z43:Z52)</f>
        <v>297706.02229999995</v>
      </c>
      <c r="AA42" s="86"/>
      <c r="AB42" s="86">
        <f t="shared" ref="AB42" si="16">SUM(AB43:AB52)</f>
        <v>301582.90129999997</v>
      </c>
    </row>
    <row r="43" spans="1:28">
      <c r="A43" s="45" t="s">
        <v>237</v>
      </c>
      <c r="B43" s="39" t="s">
        <v>68</v>
      </c>
      <c r="C43" s="19" t="s">
        <v>148</v>
      </c>
      <c r="D43" s="15"/>
      <c r="E43" s="15">
        <f>3.78+4.6+7.51</f>
        <v>15.889999999999999</v>
      </c>
      <c r="F43" s="15">
        <f>6.78+3.45+7.78</f>
        <v>18.010000000000002</v>
      </c>
      <c r="G43" s="15">
        <f>9.33+7.31+9.94</f>
        <v>26.58</v>
      </c>
      <c r="H43" s="15"/>
      <c r="I43" s="15">
        <f>7.45+9.52+10.45</f>
        <v>27.419999999999998</v>
      </c>
      <c r="J43" s="15"/>
      <c r="K43" s="15">
        <f>9.53+9.86+10.24</f>
        <v>29.630000000000003</v>
      </c>
      <c r="L43" s="15"/>
      <c r="M43" s="15">
        <f>3.08+6.42+6.3+9.96</f>
        <v>25.76</v>
      </c>
      <c r="N43" s="15"/>
      <c r="O43" s="15">
        <f>9.33+7.71+5.29</f>
        <v>22.33</v>
      </c>
      <c r="P43" s="15"/>
      <c r="Q43" s="15">
        <f>15.83+52.86+12.44+2.59+1.72+5.69+4.3</f>
        <v>95.429999999999993</v>
      </c>
      <c r="R43" s="15">
        <f>14.56</f>
        <v>14.56</v>
      </c>
      <c r="S43" s="15"/>
      <c r="T43" s="15"/>
      <c r="U43" s="15"/>
      <c r="V43" s="15"/>
      <c r="W43" s="15">
        <f t="shared" ref="W43:W49" si="17">SUM(D43:T43)</f>
        <v>275.61</v>
      </c>
      <c r="X43" s="24" t="s">
        <v>24</v>
      </c>
      <c r="Y43" s="66">
        <v>30.82</v>
      </c>
      <c r="Z43" s="60">
        <f t="shared" si="7"/>
        <v>8494.3001999999997</v>
      </c>
      <c r="AA43" s="21">
        <v>34.21</v>
      </c>
      <c r="AB43" s="30">
        <f>W43*AA43</f>
        <v>9428.6181000000015</v>
      </c>
    </row>
    <row r="44" spans="1:28">
      <c r="A44" s="45" t="s">
        <v>238</v>
      </c>
      <c r="B44" s="19" t="s">
        <v>149</v>
      </c>
      <c r="C44" s="19" t="s">
        <v>150</v>
      </c>
      <c r="D44" s="15" t="s">
        <v>60</v>
      </c>
      <c r="E44" s="15">
        <f>2</f>
        <v>2</v>
      </c>
      <c r="F44" s="15">
        <f>2</f>
        <v>2</v>
      </c>
      <c r="G44" s="15">
        <f>2</f>
        <v>2</v>
      </c>
      <c r="H44" s="15"/>
      <c r="I44" s="15">
        <f>2</f>
        <v>2</v>
      </c>
      <c r="J44" s="15"/>
      <c r="K44" s="15">
        <f>2</f>
        <v>2</v>
      </c>
      <c r="L44" s="15"/>
      <c r="M44" s="15">
        <f>3</f>
        <v>3</v>
      </c>
      <c r="N44" s="15"/>
      <c r="O44" s="15">
        <f>2</f>
        <v>2</v>
      </c>
      <c r="P44" s="15"/>
      <c r="Q44" s="15">
        <f>1+2</f>
        <v>3</v>
      </c>
      <c r="R44" s="15"/>
      <c r="S44" s="15"/>
      <c r="T44" s="15"/>
      <c r="U44" s="15"/>
      <c r="V44" s="15"/>
      <c r="W44" s="15">
        <f t="shared" si="17"/>
        <v>18</v>
      </c>
      <c r="X44" s="24" t="s">
        <v>98</v>
      </c>
      <c r="Y44" s="66" t="s">
        <v>151</v>
      </c>
      <c r="Z44" s="60">
        <f t="shared" si="7"/>
        <v>193.32</v>
      </c>
      <c r="AA44" s="21" t="s">
        <v>152</v>
      </c>
      <c r="AB44" s="30">
        <f t="shared" ref="AB44:AB50" si="18">W44*AA44</f>
        <v>205.02</v>
      </c>
    </row>
    <row r="45" spans="1:28">
      <c r="A45" s="45" t="s">
        <v>239</v>
      </c>
      <c r="B45" s="19" t="s">
        <v>153</v>
      </c>
      <c r="C45" s="19" t="s">
        <v>154</v>
      </c>
      <c r="D45" s="15" t="s">
        <v>60</v>
      </c>
      <c r="E45" s="15">
        <f>2.16</f>
        <v>2.16</v>
      </c>
      <c r="F45" s="15">
        <f>90.38+16.71</f>
        <v>107.09</v>
      </c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>
        <f t="shared" si="17"/>
        <v>109.25</v>
      </c>
      <c r="X45" s="24" t="s">
        <v>24</v>
      </c>
      <c r="Y45" s="66" t="s">
        <v>155</v>
      </c>
      <c r="Z45" s="60">
        <f t="shared" si="7"/>
        <v>16816.852500000001</v>
      </c>
      <c r="AA45" s="21" t="s">
        <v>156</v>
      </c>
      <c r="AB45" s="30">
        <f t="shared" si="18"/>
        <v>17122.752499999999</v>
      </c>
    </row>
    <row r="46" spans="1:28">
      <c r="A46" s="45" t="s">
        <v>240</v>
      </c>
      <c r="B46" s="19" t="s">
        <v>157</v>
      </c>
      <c r="C46" s="19" t="s">
        <v>158</v>
      </c>
      <c r="D46" s="15" t="s">
        <v>60</v>
      </c>
      <c r="E46" s="15"/>
      <c r="F46" s="15"/>
      <c r="G46" s="15">
        <f>77.89</f>
        <v>77.89</v>
      </c>
      <c r="H46" s="15">
        <f>95.78+32.72</f>
        <v>128.5</v>
      </c>
      <c r="I46" s="15">
        <f>80.85</f>
        <v>80.849999999999994</v>
      </c>
      <c r="J46" s="15">
        <f>97.69+30.02</f>
        <v>127.71</v>
      </c>
      <c r="K46" s="15">
        <f>80</f>
        <v>80</v>
      </c>
      <c r="L46" s="15">
        <f>99.54+102.54</f>
        <v>202.08</v>
      </c>
      <c r="M46" s="15">
        <f>56.08+10+10.76</f>
        <v>76.84</v>
      </c>
      <c r="N46" s="15"/>
      <c r="O46" s="15">
        <f>25.86+43.68</f>
        <v>69.539999999999992</v>
      </c>
      <c r="P46" s="15">
        <f>100+37.45</f>
        <v>137.44999999999999</v>
      </c>
      <c r="Q46" s="15"/>
      <c r="R46" s="15">
        <f>20.62+9</f>
        <v>29.62</v>
      </c>
      <c r="S46" s="15"/>
      <c r="T46" s="15"/>
      <c r="U46" s="15"/>
      <c r="V46" s="15"/>
      <c r="W46" s="15">
        <f t="shared" si="17"/>
        <v>1010.4799999999999</v>
      </c>
      <c r="X46" s="24" t="s">
        <v>24</v>
      </c>
      <c r="Y46" s="66" t="s">
        <v>159</v>
      </c>
      <c r="Z46" s="60">
        <f t="shared" si="7"/>
        <v>233117.73599999998</v>
      </c>
      <c r="AA46" s="21" t="s">
        <v>160</v>
      </c>
      <c r="AB46" s="30">
        <f t="shared" si="18"/>
        <v>234067.58719999995</v>
      </c>
    </row>
    <row r="47" spans="1:28">
      <c r="A47" s="45" t="s">
        <v>241</v>
      </c>
      <c r="B47" s="19" t="s">
        <v>68</v>
      </c>
      <c r="C47" s="19" t="s">
        <v>161</v>
      </c>
      <c r="D47" s="24"/>
      <c r="E47" s="15"/>
      <c r="F47" s="15"/>
      <c r="G47" s="15"/>
      <c r="H47" s="15"/>
      <c r="I47" s="15">
        <v>0.7</v>
      </c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>
        <f t="shared" si="17"/>
        <v>0.7</v>
      </c>
      <c r="X47" s="24" t="s">
        <v>162</v>
      </c>
      <c r="Y47" s="66">
        <v>54.73</v>
      </c>
      <c r="Z47" s="60">
        <f t="shared" si="7"/>
        <v>38.310999999999993</v>
      </c>
      <c r="AA47" s="21">
        <v>55.91</v>
      </c>
      <c r="AB47" s="30">
        <f t="shared" si="18"/>
        <v>39.136999999999993</v>
      </c>
    </row>
    <row r="48" spans="1:28">
      <c r="A48" s="45" t="s">
        <v>242</v>
      </c>
      <c r="B48" s="19" t="s">
        <v>163</v>
      </c>
      <c r="C48" s="19" t="s">
        <v>164</v>
      </c>
      <c r="D48" s="24"/>
      <c r="E48" s="15"/>
      <c r="F48" s="15">
        <f>7.92</f>
        <v>7.92</v>
      </c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>
        <f t="shared" si="17"/>
        <v>7.92</v>
      </c>
      <c r="X48" s="24" t="s">
        <v>162</v>
      </c>
      <c r="Y48" s="66" t="s">
        <v>165</v>
      </c>
      <c r="Z48" s="60">
        <f t="shared" si="7"/>
        <v>910.72079999999994</v>
      </c>
      <c r="AA48" s="21" t="s">
        <v>166</v>
      </c>
      <c r="AB48" s="30">
        <f t="shared" si="18"/>
        <v>930.28319999999997</v>
      </c>
    </row>
    <row r="49" spans="1:28">
      <c r="A49" s="45" t="s">
        <v>243</v>
      </c>
      <c r="B49" s="19" t="s">
        <v>167</v>
      </c>
      <c r="C49" s="19" t="s">
        <v>168</v>
      </c>
      <c r="D49" s="24">
        <f>126.21+44.86</f>
        <v>171.07</v>
      </c>
      <c r="E49" s="15">
        <f>3.26</f>
        <v>3.26</v>
      </c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>
        <f t="shared" si="17"/>
        <v>174.32999999999998</v>
      </c>
      <c r="X49" s="24" t="s">
        <v>24</v>
      </c>
      <c r="Y49" s="66" t="s">
        <v>169</v>
      </c>
      <c r="Z49" s="60">
        <f t="shared" si="7"/>
        <v>13275.229499999999</v>
      </c>
      <c r="AA49" s="21" t="s">
        <v>170</v>
      </c>
      <c r="AB49" s="30">
        <f t="shared" si="18"/>
        <v>13515.804899999999</v>
      </c>
    </row>
    <row r="50" spans="1:28">
      <c r="A50" s="45" t="s">
        <v>244</v>
      </c>
      <c r="B50" s="19" t="s">
        <v>171</v>
      </c>
      <c r="C50" s="19" t="s">
        <v>172</v>
      </c>
      <c r="D50" s="24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>
        <f>W49</f>
        <v>174.32999999999998</v>
      </c>
      <c r="X50" s="24" t="s">
        <v>24</v>
      </c>
      <c r="Y50" s="66" t="s">
        <v>173</v>
      </c>
      <c r="Z50" s="60">
        <f t="shared" si="7"/>
        <v>774.02520000000004</v>
      </c>
      <c r="AA50" s="21" t="s">
        <v>174</v>
      </c>
      <c r="AB50" s="30">
        <f t="shared" si="18"/>
        <v>861.1902</v>
      </c>
    </row>
    <row r="51" spans="1:28">
      <c r="A51" s="45" t="s">
        <v>245</v>
      </c>
      <c r="B51" s="19" t="s">
        <v>175</v>
      </c>
      <c r="C51" s="19" t="s">
        <v>176</v>
      </c>
      <c r="D51" s="24">
        <f>6.69</f>
        <v>6.69</v>
      </c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>
        <f>SUM(D51:T51)</f>
        <v>6.69</v>
      </c>
      <c r="X51" s="24" t="s">
        <v>24</v>
      </c>
      <c r="Y51" s="66" t="s">
        <v>177</v>
      </c>
      <c r="Z51" s="60">
        <f>W51*Y51</f>
        <v>18.598199999999999</v>
      </c>
      <c r="AA51" s="21" t="s">
        <v>178</v>
      </c>
      <c r="AB51" s="30">
        <f>W51*AA51</f>
        <v>20.5383</v>
      </c>
    </row>
    <row r="52" spans="1:28">
      <c r="A52" s="45" t="s">
        <v>246</v>
      </c>
      <c r="B52" s="19" t="s">
        <v>179</v>
      </c>
      <c r="C52" s="19" t="s">
        <v>180</v>
      </c>
      <c r="D52" s="15"/>
      <c r="E52" s="15">
        <f>10.66</f>
        <v>10.66</v>
      </c>
      <c r="F52" s="15">
        <f>54.13+15.85</f>
        <v>69.98</v>
      </c>
      <c r="G52" s="15">
        <f>37.67</f>
        <v>37.67</v>
      </c>
      <c r="H52" s="15">
        <f>57.21+30.75</f>
        <v>87.960000000000008</v>
      </c>
      <c r="I52" s="15">
        <f>50.44</f>
        <v>50.44</v>
      </c>
      <c r="J52" s="15">
        <f>57.54+30.55</f>
        <v>88.09</v>
      </c>
      <c r="K52" s="15">
        <f>32.67</f>
        <v>32.67</v>
      </c>
      <c r="L52" s="15">
        <f>54.39+30.67</f>
        <v>85.06</v>
      </c>
      <c r="M52" s="15">
        <f>28.55+9.98+10.69</f>
        <v>49.22</v>
      </c>
      <c r="N52" s="15"/>
      <c r="O52" s="15">
        <f>19.74+21</f>
        <v>40.739999999999995</v>
      </c>
      <c r="P52" s="15">
        <f>37.16+42.25</f>
        <v>79.41</v>
      </c>
      <c r="Q52" s="15"/>
      <c r="R52" s="15">
        <f>22.86+10.5+20.63+11.5</f>
        <v>65.489999999999995</v>
      </c>
      <c r="S52" s="15"/>
      <c r="T52" s="15"/>
      <c r="U52" s="15"/>
      <c r="V52" s="15"/>
      <c r="W52" s="15">
        <f>SUM(D52:T52)</f>
        <v>697.3900000000001</v>
      </c>
      <c r="X52" s="24" t="s">
        <v>162</v>
      </c>
      <c r="Y52" s="66" t="s">
        <v>181</v>
      </c>
      <c r="Z52" s="60">
        <f>W52*Y52</f>
        <v>24066.928900000003</v>
      </c>
      <c r="AA52" s="21" t="s">
        <v>182</v>
      </c>
      <c r="AB52" s="30">
        <f>W52*AA52</f>
        <v>25391.9699</v>
      </c>
    </row>
    <row r="53" spans="1:28">
      <c r="A53" s="65" t="s">
        <v>16</v>
      </c>
      <c r="B53" s="43"/>
      <c r="C53" s="26" t="s">
        <v>277</v>
      </c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76"/>
      <c r="Z53" s="86">
        <f>SUM(Z54:Z60)</f>
        <v>11649.590200000001</v>
      </c>
      <c r="AA53" s="86"/>
      <c r="AB53" s="86">
        <f t="shared" ref="AB53" si="19">SUM(AB54:AB60)</f>
        <v>12562.344499999999</v>
      </c>
    </row>
    <row r="54" spans="1:28">
      <c r="A54" s="45" t="s">
        <v>286</v>
      </c>
      <c r="B54" s="19" t="s">
        <v>278</v>
      </c>
      <c r="C54" s="34" t="s">
        <v>279</v>
      </c>
      <c r="D54" s="15">
        <v>24.78</v>
      </c>
      <c r="E54" s="15"/>
      <c r="F54" s="15">
        <v>37.18</v>
      </c>
      <c r="G54" s="15"/>
      <c r="H54" s="15">
        <v>61.96</v>
      </c>
      <c r="I54" s="15"/>
      <c r="J54" s="15">
        <v>61.96</v>
      </c>
      <c r="K54" s="15"/>
      <c r="L54" s="15">
        <v>61.96</v>
      </c>
      <c r="M54" s="15"/>
      <c r="N54" s="15">
        <v>61.96</v>
      </c>
      <c r="O54" s="15"/>
      <c r="P54" s="15">
        <v>61.96</v>
      </c>
      <c r="Q54" s="15"/>
      <c r="R54" s="15">
        <v>74.72</v>
      </c>
      <c r="S54" s="15"/>
      <c r="T54" s="15"/>
      <c r="U54" s="15"/>
      <c r="V54" s="15"/>
      <c r="W54" s="15">
        <f t="shared" ref="W54:W60" si="20">SUM(D54:T54)</f>
        <v>446.48</v>
      </c>
      <c r="X54" s="24" t="s">
        <v>24</v>
      </c>
      <c r="Y54" s="66" t="s">
        <v>282</v>
      </c>
      <c r="Z54" s="60">
        <f t="shared" ref="Z54:Z60" si="21">W54*Y54</f>
        <v>4665.7159999999994</v>
      </c>
      <c r="AA54" s="21" t="s">
        <v>284</v>
      </c>
      <c r="AB54" s="30">
        <f t="shared" ref="AB54:AB60" si="22">W54*AA54</f>
        <v>5013.9704000000002</v>
      </c>
    </row>
    <row r="55" spans="1:28">
      <c r="A55" s="45" t="s">
        <v>287</v>
      </c>
      <c r="B55" s="19" t="s">
        <v>280</v>
      </c>
      <c r="C55" s="19" t="s">
        <v>281</v>
      </c>
      <c r="D55" s="15">
        <v>6.28</v>
      </c>
      <c r="E55" s="15"/>
      <c r="F55" s="15">
        <v>9.41</v>
      </c>
      <c r="G55" s="15"/>
      <c r="H55" s="15">
        <v>15.69</v>
      </c>
      <c r="I55" s="15"/>
      <c r="J55" s="15">
        <v>15.69</v>
      </c>
      <c r="K55" s="15"/>
      <c r="L55" s="15">
        <v>15.69</v>
      </c>
      <c r="M55" s="15"/>
      <c r="N55" s="15">
        <v>15.69</v>
      </c>
      <c r="O55" s="15"/>
      <c r="P55" s="15">
        <v>15.69</v>
      </c>
      <c r="Q55" s="15"/>
      <c r="R55" s="15">
        <v>14.37</v>
      </c>
      <c r="S55" s="15"/>
      <c r="T55" s="15"/>
      <c r="U55" s="15"/>
      <c r="V55" s="15"/>
      <c r="W55" s="15">
        <f t="shared" si="20"/>
        <v>108.51</v>
      </c>
      <c r="X55" s="24" t="s">
        <v>24</v>
      </c>
      <c r="Y55" s="66" t="s">
        <v>283</v>
      </c>
      <c r="Z55" s="60">
        <f t="shared" si="21"/>
        <v>1436.6724000000002</v>
      </c>
      <c r="AA55" s="21" t="s">
        <v>285</v>
      </c>
      <c r="AB55" s="30">
        <f t="shared" si="22"/>
        <v>1552.7781000000002</v>
      </c>
    </row>
    <row r="56" spans="1:28">
      <c r="A56" s="45" t="s">
        <v>288</v>
      </c>
      <c r="B56" s="19">
        <v>88485</v>
      </c>
      <c r="C56" s="19" t="s">
        <v>106</v>
      </c>
      <c r="D56" s="15">
        <v>24.78</v>
      </c>
      <c r="E56" s="15"/>
      <c r="F56" s="15">
        <v>37.18</v>
      </c>
      <c r="G56" s="15"/>
      <c r="H56" s="15">
        <v>61.96</v>
      </c>
      <c r="I56" s="15"/>
      <c r="J56" s="15">
        <v>61.96</v>
      </c>
      <c r="K56" s="15"/>
      <c r="L56" s="15">
        <v>61.96</v>
      </c>
      <c r="M56" s="15"/>
      <c r="N56" s="15">
        <v>61.96</v>
      </c>
      <c r="O56" s="15"/>
      <c r="P56" s="15">
        <v>61.96</v>
      </c>
      <c r="Q56" s="15"/>
      <c r="R56" s="15">
        <v>74.72</v>
      </c>
      <c r="S56" s="15"/>
      <c r="T56" s="15"/>
      <c r="U56" s="15"/>
      <c r="V56" s="15"/>
      <c r="W56" s="15">
        <f t="shared" si="20"/>
        <v>446.48</v>
      </c>
      <c r="X56" s="24" t="s">
        <v>24</v>
      </c>
      <c r="Y56" s="66" t="s">
        <v>107</v>
      </c>
      <c r="Z56" s="60">
        <f t="shared" si="21"/>
        <v>2210.076</v>
      </c>
      <c r="AA56" s="21" t="s">
        <v>108</v>
      </c>
      <c r="AB56" s="30">
        <f t="shared" si="22"/>
        <v>2348.4848000000002</v>
      </c>
    </row>
    <row r="57" spans="1:28">
      <c r="A57" s="45" t="s">
        <v>289</v>
      </c>
      <c r="B57" s="19" t="s">
        <v>138</v>
      </c>
      <c r="C57" s="19" t="s">
        <v>139</v>
      </c>
      <c r="D57" s="15">
        <v>6.28</v>
      </c>
      <c r="E57" s="15"/>
      <c r="F57" s="15">
        <v>9.41</v>
      </c>
      <c r="G57" s="15"/>
      <c r="H57" s="15">
        <v>15.69</v>
      </c>
      <c r="I57" s="15"/>
      <c r="J57" s="15">
        <v>15.69</v>
      </c>
      <c r="K57" s="15"/>
      <c r="L57" s="15">
        <v>15.69</v>
      </c>
      <c r="M57" s="15"/>
      <c r="N57" s="15">
        <v>15.69</v>
      </c>
      <c r="O57" s="15"/>
      <c r="P57" s="15">
        <v>15.69</v>
      </c>
      <c r="Q57" s="15"/>
      <c r="R57" s="15">
        <v>14.37</v>
      </c>
      <c r="S57" s="15"/>
      <c r="T57" s="15"/>
      <c r="U57" s="15"/>
      <c r="V57" s="15"/>
      <c r="W57" s="15">
        <f t="shared" si="20"/>
        <v>108.51</v>
      </c>
      <c r="X57" s="24" t="s">
        <v>24</v>
      </c>
      <c r="Y57" s="66" t="s">
        <v>140</v>
      </c>
      <c r="Z57" s="60">
        <f t="shared" si="21"/>
        <v>659.74080000000004</v>
      </c>
      <c r="AA57" s="21" t="s">
        <v>141</v>
      </c>
      <c r="AB57" s="30">
        <f t="shared" si="22"/>
        <v>707.48519999999996</v>
      </c>
    </row>
    <row r="58" spans="1:28">
      <c r="A58" s="45" t="s">
        <v>295</v>
      </c>
      <c r="B58" s="19" t="s">
        <v>134</v>
      </c>
      <c r="C58" s="19" t="s">
        <v>135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>
        <v>11.3</v>
      </c>
      <c r="S58" s="15"/>
      <c r="T58" s="15"/>
      <c r="U58" s="15"/>
      <c r="V58" s="15"/>
      <c r="W58" s="15">
        <f t="shared" si="20"/>
        <v>11.3</v>
      </c>
      <c r="X58" s="24" t="s">
        <v>24</v>
      </c>
      <c r="Y58" s="66" t="s">
        <v>136</v>
      </c>
      <c r="Z58" s="60">
        <f t="shared" si="21"/>
        <v>284.87300000000005</v>
      </c>
      <c r="AA58" s="21" t="s">
        <v>137</v>
      </c>
      <c r="AB58" s="30">
        <f t="shared" si="22"/>
        <v>312.10600000000005</v>
      </c>
    </row>
    <row r="59" spans="1:28">
      <c r="A59" s="45" t="s">
        <v>296</v>
      </c>
      <c r="B59" s="19" t="s">
        <v>297</v>
      </c>
      <c r="C59" s="19" t="s">
        <v>298</v>
      </c>
      <c r="D59" s="15">
        <v>8.16</v>
      </c>
      <c r="E59" s="15"/>
      <c r="F59" s="15">
        <v>8.16</v>
      </c>
      <c r="G59" s="15"/>
      <c r="H59" s="15">
        <v>8.16</v>
      </c>
      <c r="I59" s="15"/>
      <c r="J59" s="15">
        <v>8.16</v>
      </c>
      <c r="K59" s="15"/>
      <c r="L59" s="15">
        <v>8.16</v>
      </c>
      <c r="M59" s="15"/>
      <c r="N59" s="15">
        <v>8.16</v>
      </c>
      <c r="O59" s="15"/>
      <c r="P59" s="15">
        <v>8.16</v>
      </c>
      <c r="Q59" s="15"/>
      <c r="R59" s="15">
        <v>24.48</v>
      </c>
      <c r="S59" s="15"/>
      <c r="T59" s="15"/>
      <c r="U59" s="15"/>
      <c r="V59" s="15"/>
      <c r="W59" s="15">
        <f t="shared" si="20"/>
        <v>81.599999999999994</v>
      </c>
      <c r="X59" s="24" t="s">
        <v>24</v>
      </c>
      <c r="Y59" s="21" t="s">
        <v>302</v>
      </c>
      <c r="Z59" s="60">
        <f t="shared" si="21"/>
        <v>949.82399999999996</v>
      </c>
      <c r="AA59" s="21" t="s">
        <v>301</v>
      </c>
      <c r="AB59" s="30">
        <f t="shared" si="22"/>
        <v>1042.848</v>
      </c>
    </row>
    <row r="60" spans="1:28">
      <c r="A60" s="45" t="s">
        <v>305</v>
      </c>
      <c r="B60" s="19" t="s">
        <v>299</v>
      </c>
      <c r="C60" s="19" t="s">
        <v>300</v>
      </c>
      <c r="D60" s="15">
        <v>8.16</v>
      </c>
      <c r="E60" s="15"/>
      <c r="F60" s="15">
        <v>8.16</v>
      </c>
      <c r="G60" s="15"/>
      <c r="H60" s="15">
        <v>8.16</v>
      </c>
      <c r="I60" s="15"/>
      <c r="J60" s="15">
        <v>8.16</v>
      </c>
      <c r="K60" s="15"/>
      <c r="L60" s="15">
        <v>8.16</v>
      </c>
      <c r="M60" s="15"/>
      <c r="N60" s="15">
        <v>8.16</v>
      </c>
      <c r="O60" s="15"/>
      <c r="P60" s="15">
        <v>8.16</v>
      </c>
      <c r="Q60" s="15"/>
      <c r="R60" s="15">
        <v>24.48</v>
      </c>
      <c r="S60" s="15"/>
      <c r="T60" s="15"/>
      <c r="U60" s="15"/>
      <c r="V60" s="15"/>
      <c r="W60" s="15">
        <f t="shared" si="20"/>
        <v>81.599999999999994</v>
      </c>
      <c r="X60" s="24" t="s">
        <v>24</v>
      </c>
      <c r="Y60" s="21" t="s">
        <v>304</v>
      </c>
      <c r="Z60" s="60">
        <f t="shared" si="21"/>
        <v>1442.6879999999999</v>
      </c>
      <c r="AA60" s="21" t="s">
        <v>303</v>
      </c>
      <c r="AB60" s="30">
        <f t="shared" si="22"/>
        <v>1584.672</v>
      </c>
    </row>
    <row r="61" spans="1:28">
      <c r="A61" s="50">
        <v>3</v>
      </c>
      <c r="B61" s="42"/>
      <c r="C61" s="31" t="s">
        <v>306</v>
      </c>
      <c r="D61" s="71"/>
      <c r="E61" s="71"/>
      <c r="F61" s="71"/>
      <c r="G61" s="71"/>
      <c r="H61" s="71"/>
      <c r="I61" s="71"/>
      <c r="J61" s="71"/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71"/>
      <c r="W61" s="71"/>
      <c r="X61" s="31"/>
      <c r="Y61" s="77"/>
      <c r="Z61" s="88">
        <f>SUM(Z62:Z67)</f>
        <v>41347.327299999997</v>
      </c>
      <c r="AA61" s="88"/>
      <c r="AB61" s="88">
        <f t="shared" ref="AB61" si="23">SUM(AB62:AB67)</f>
        <v>42378.590700000008</v>
      </c>
    </row>
    <row r="62" spans="1:28">
      <c r="A62" s="45" t="s">
        <v>9</v>
      </c>
      <c r="B62" s="19" t="s">
        <v>183</v>
      </c>
      <c r="C62" s="80" t="s">
        <v>184</v>
      </c>
      <c r="D62" s="15" t="s">
        <v>60</v>
      </c>
      <c r="E62" s="15"/>
      <c r="F62" s="15"/>
      <c r="G62" s="15"/>
      <c r="H62" s="15">
        <v>28.8</v>
      </c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>
        <v>17.57</v>
      </c>
      <c r="T62" s="15">
        <v>30</v>
      </c>
      <c r="U62" s="15"/>
      <c r="V62" s="15"/>
      <c r="W62" s="15">
        <f>SUM(D62:V62)</f>
        <v>76.37</v>
      </c>
      <c r="X62" s="15" t="s">
        <v>24</v>
      </c>
      <c r="Y62" s="66" t="s">
        <v>185</v>
      </c>
      <c r="Z62" s="60">
        <f>W62*Y62</f>
        <v>9590.5446000000011</v>
      </c>
      <c r="AA62" s="21" t="s">
        <v>186</v>
      </c>
      <c r="AB62" s="29">
        <f>W62*AA62</f>
        <v>9927.3363000000008</v>
      </c>
    </row>
    <row r="63" spans="1:28">
      <c r="A63" s="45" t="s">
        <v>10</v>
      </c>
      <c r="B63" s="19" t="s">
        <v>187</v>
      </c>
      <c r="C63" s="80" t="s">
        <v>188</v>
      </c>
      <c r="D63" s="15"/>
      <c r="E63" s="15"/>
      <c r="F63" s="15"/>
      <c r="G63" s="15">
        <v>8.4700000000000006</v>
      </c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>
        <v>66.52</v>
      </c>
      <c r="T63" s="15">
        <v>108</v>
      </c>
      <c r="U63" s="15"/>
      <c r="V63" s="15"/>
      <c r="W63" s="15">
        <f t="shared" ref="W63:W67" si="24">SUM(D63:V63)</f>
        <v>182.99</v>
      </c>
      <c r="X63" s="15" t="s">
        <v>24</v>
      </c>
      <c r="Y63" s="66" t="s">
        <v>189</v>
      </c>
      <c r="Z63" s="60">
        <f t="shared" ref="Z63:Z67" si="25">W63*Y63</f>
        <v>10062.6201</v>
      </c>
      <c r="AA63" s="21" t="s">
        <v>190</v>
      </c>
      <c r="AB63" s="29">
        <f t="shared" ref="AB63:AB67" si="26">W63*AA63</f>
        <v>10434.089800000002</v>
      </c>
    </row>
    <row r="64" spans="1:28">
      <c r="A64" s="45" t="s">
        <v>11</v>
      </c>
      <c r="B64" s="19" t="s">
        <v>191</v>
      </c>
      <c r="C64" s="34" t="s">
        <v>192</v>
      </c>
      <c r="D64" s="15" t="s">
        <v>60</v>
      </c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>
        <v>13</v>
      </c>
      <c r="T64" s="15">
        <v>15</v>
      </c>
      <c r="U64" s="15"/>
      <c r="V64" s="15"/>
      <c r="W64" s="15">
        <f t="shared" si="24"/>
        <v>28</v>
      </c>
      <c r="X64" s="15" t="s">
        <v>24</v>
      </c>
      <c r="Y64" s="66" t="s">
        <v>193</v>
      </c>
      <c r="Z64" s="60">
        <f t="shared" si="25"/>
        <v>624.67999999999995</v>
      </c>
      <c r="AA64" s="21" t="s">
        <v>194</v>
      </c>
      <c r="AB64" s="29">
        <f t="shared" si="26"/>
        <v>632.80000000000007</v>
      </c>
    </row>
    <row r="65" spans="1:28">
      <c r="A65" s="45" t="s">
        <v>12</v>
      </c>
      <c r="B65" s="19" t="s">
        <v>195</v>
      </c>
      <c r="C65" s="80" t="s">
        <v>196</v>
      </c>
      <c r="D65" s="15" t="s">
        <v>60</v>
      </c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>
        <f>59.54</f>
        <v>59.54</v>
      </c>
      <c r="T65" s="15">
        <v>108</v>
      </c>
      <c r="U65" s="15"/>
      <c r="V65" s="15"/>
      <c r="W65" s="15">
        <f t="shared" si="24"/>
        <v>167.54</v>
      </c>
      <c r="X65" s="15" t="s">
        <v>24</v>
      </c>
      <c r="Y65" s="66" t="s">
        <v>197</v>
      </c>
      <c r="Z65" s="60">
        <f t="shared" si="25"/>
        <v>5053.0064000000002</v>
      </c>
      <c r="AA65" s="21" t="s">
        <v>198</v>
      </c>
      <c r="AB65" s="29">
        <f t="shared" si="26"/>
        <v>5170.2843999999996</v>
      </c>
    </row>
    <row r="66" spans="1:28">
      <c r="A66" s="45" t="s">
        <v>248</v>
      </c>
      <c r="B66" s="19" t="s">
        <v>199</v>
      </c>
      <c r="C66" s="80" t="s">
        <v>200</v>
      </c>
      <c r="D66" s="15" t="s">
        <v>60</v>
      </c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>
        <f>59.54</f>
        <v>59.54</v>
      </c>
      <c r="T66" s="15">
        <v>108</v>
      </c>
      <c r="U66" s="15"/>
      <c r="V66" s="15"/>
      <c r="W66" s="15">
        <f t="shared" si="24"/>
        <v>167.54</v>
      </c>
      <c r="X66" s="15" t="s">
        <v>24</v>
      </c>
      <c r="Y66" s="66" t="s">
        <v>201</v>
      </c>
      <c r="Z66" s="60">
        <f t="shared" si="25"/>
        <v>11959.005199999998</v>
      </c>
      <c r="AA66" s="21" t="s">
        <v>202</v>
      </c>
      <c r="AB66" s="29">
        <f t="shared" si="26"/>
        <v>12069.581600000001</v>
      </c>
    </row>
    <row r="67" spans="1:28">
      <c r="A67" s="45" t="s">
        <v>247</v>
      </c>
      <c r="B67" s="19" t="s">
        <v>203</v>
      </c>
      <c r="C67" s="80" t="s">
        <v>204</v>
      </c>
      <c r="D67" s="15" t="s">
        <v>60</v>
      </c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>
        <v>34.799999999999997</v>
      </c>
      <c r="T67" s="15">
        <v>41.54</v>
      </c>
      <c r="U67" s="15"/>
      <c r="V67" s="15"/>
      <c r="W67" s="15">
        <f t="shared" si="24"/>
        <v>76.34</v>
      </c>
      <c r="X67" s="15" t="s">
        <v>162</v>
      </c>
      <c r="Y67" s="66" t="s">
        <v>205</v>
      </c>
      <c r="Z67" s="60">
        <f t="shared" si="25"/>
        <v>4057.471</v>
      </c>
      <c r="AA67" s="21" t="s">
        <v>206</v>
      </c>
      <c r="AB67" s="29">
        <f t="shared" si="26"/>
        <v>4144.4985999999999</v>
      </c>
    </row>
    <row r="68" spans="1:28" ht="24.75" customHeight="1">
      <c r="A68" s="89"/>
      <c r="B68" s="90"/>
      <c r="C68" s="94" t="s">
        <v>307</v>
      </c>
      <c r="D68" s="91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1"/>
      <c r="S68" s="91"/>
      <c r="T68" s="91"/>
      <c r="U68" s="91"/>
      <c r="V68" s="91"/>
      <c r="W68" s="91"/>
      <c r="X68" s="91"/>
      <c r="Y68" s="92"/>
      <c r="Z68" s="93">
        <f>Z61+Z21+Z7</f>
        <v>529864.21919999993</v>
      </c>
      <c r="AA68" s="93"/>
      <c r="AB68" s="93">
        <f t="shared" ref="AB68" si="27">AB61+AB21+AB7</f>
        <v>545718.26889999991</v>
      </c>
    </row>
    <row r="69" spans="1:28"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Y69" s="78"/>
      <c r="Z69" s="12"/>
    </row>
    <row r="70" spans="1:28">
      <c r="B70" s="34"/>
      <c r="C70" s="13"/>
      <c r="D70" s="14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Y70" s="78"/>
      <c r="Z70" s="12"/>
    </row>
    <row r="71" spans="1:28"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Y71" s="78"/>
      <c r="Z71" s="12"/>
    </row>
    <row r="72" spans="1:28"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Y72" s="78"/>
      <c r="Z72" s="12"/>
    </row>
    <row r="73" spans="1:28">
      <c r="Y73" s="78"/>
    </row>
    <row r="74" spans="1:28">
      <c r="Y74" s="78"/>
    </row>
    <row r="75" spans="1:28">
      <c r="C75" s="13"/>
      <c r="X75" s="14"/>
      <c r="Y75" s="79"/>
      <c r="Z75" s="33"/>
    </row>
    <row r="78" spans="1:28">
      <c r="B78" s="35"/>
      <c r="C78" s="36"/>
    </row>
    <row r="79" spans="1:28">
      <c r="B79" s="34"/>
      <c r="C79" s="34"/>
    </row>
  </sheetData>
  <mergeCells count="7">
    <mergeCell ref="C5:C6"/>
    <mergeCell ref="B5:B6"/>
    <mergeCell ref="A5:A6"/>
    <mergeCell ref="Y5:Z5"/>
    <mergeCell ref="AA5:AB5"/>
    <mergeCell ref="D5:V5"/>
    <mergeCell ref="W5:X6"/>
  </mergeCells>
  <phoneticPr fontId="2" type="noConversion"/>
  <pageMargins left="0.511811024" right="0.511811024" top="0.78740157499999996" bottom="0.78740157499999996" header="0.31496062000000002" footer="0.3149606200000000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E3"/>
  <sheetViews>
    <sheetView showGridLines="0" workbookViewId="0">
      <selection activeCell="B6" sqref="B6"/>
    </sheetView>
  </sheetViews>
  <sheetFormatPr defaultRowHeight="15"/>
  <sheetData>
    <row r="2" spans="4:5" ht="33.75">
      <c r="E2" s="9" t="s">
        <v>26</v>
      </c>
    </row>
    <row r="3" spans="4:5" ht="15.75" customHeight="1">
      <c r="D3" s="10"/>
    </row>
  </sheetData>
  <printOptions horizontalCentered="1" verticalCentered="1"/>
  <pageMargins left="0.19685039370078741" right="0.19685039370078741" top="0.78740157480314965" bottom="0.39370078740157483" header="0.31496062992125984" footer="0.31496062992125984"/>
  <pageSetup paperSize="9" scale="7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18"/>
  <sheetViews>
    <sheetView tabSelected="1" workbookViewId="0">
      <selection activeCell="A5" sqref="A5:C5"/>
    </sheetView>
  </sheetViews>
  <sheetFormatPr defaultRowHeight="15"/>
  <cols>
    <col min="2" max="2" width="66" bestFit="1" customWidth="1"/>
    <col min="3" max="3" width="15.5703125" bestFit="1" customWidth="1"/>
    <col min="4" max="4" width="67.85546875" customWidth="1"/>
    <col min="5" max="5" width="17.28515625" bestFit="1" customWidth="1"/>
  </cols>
  <sheetData>
    <row r="5" spans="1:3" ht="23.25">
      <c r="A5" s="166" t="s">
        <v>271</v>
      </c>
      <c r="B5" s="166"/>
      <c r="C5" s="166"/>
    </row>
    <row r="6" spans="1:3" ht="13.5" customHeight="1">
      <c r="A6" s="63"/>
      <c r="B6" s="63"/>
      <c r="C6" s="63"/>
    </row>
    <row r="7" spans="1:3" ht="57" customHeight="1">
      <c r="A7" s="180" t="s">
        <v>339</v>
      </c>
      <c r="B7" s="180"/>
      <c r="C7" s="180"/>
    </row>
    <row r="8" spans="1:3" ht="60" customHeight="1">
      <c r="A8" s="180" t="s">
        <v>340</v>
      </c>
      <c r="B8" s="180"/>
      <c r="C8" s="180"/>
    </row>
    <row r="9" spans="1:3">
      <c r="A9" s="64"/>
      <c r="B9" s="64"/>
      <c r="C9" s="64"/>
    </row>
    <row r="10" spans="1:3">
      <c r="A10" s="64"/>
      <c r="B10" s="64"/>
      <c r="C10" s="64"/>
    </row>
    <row r="11" spans="1:3">
      <c r="A11" s="64"/>
      <c r="B11" s="64"/>
      <c r="C11" s="64"/>
    </row>
    <row r="12" spans="1:3">
      <c r="A12" s="64"/>
      <c r="B12" s="64"/>
      <c r="C12" s="64"/>
    </row>
    <row r="13" spans="1:3">
      <c r="A13" s="64"/>
      <c r="B13" s="64"/>
      <c r="C13" s="64"/>
    </row>
    <row r="14" spans="1:3">
      <c r="A14" s="64"/>
      <c r="B14" s="64"/>
      <c r="C14" s="64"/>
    </row>
    <row r="15" spans="1:3">
      <c r="A15" s="64"/>
      <c r="B15" s="64"/>
      <c r="C15" s="64"/>
    </row>
    <row r="16" spans="1:3">
      <c r="A16" s="64"/>
      <c r="B16" s="64"/>
      <c r="C16" s="64"/>
    </row>
    <row r="17" spans="1:3">
      <c r="A17" s="38"/>
      <c r="B17" s="64"/>
      <c r="C17" s="64"/>
    </row>
    <row r="18" spans="1:3">
      <c r="A18" s="38"/>
      <c r="B18" s="64"/>
      <c r="C18" s="64"/>
    </row>
  </sheetData>
  <mergeCells count="3">
    <mergeCell ref="A5:C5"/>
    <mergeCell ref="A7:C7"/>
    <mergeCell ref="A8:C8"/>
  </mergeCells>
  <phoneticPr fontId="2" type="noConversion"/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INÍCIO</vt:lpstr>
      <vt:lpstr>Orçamento Referencial</vt:lpstr>
      <vt:lpstr>BDI</vt:lpstr>
      <vt:lpstr>Cronograma</vt:lpstr>
      <vt:lpstr>Memória de Cálculo</vt:lpstr>
      <vt:lpstr>ART</vt:lpstr>
      <vt:lpstr>Memorial Descritivo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 Pinheiro Alves Brasileiro</dc:creator>
  <cp:lastModifiedBy>Romulo Silva</cp:lastModifiedBy>
  <cp:lastPrinted>2024-09-24T13:44:51Z</cp:lastPrinted>
  <dcterms:created xsi:type="dcterms:W3CDTF">2024-09-02T13:24:41Z</dcterms:created>
  <dcterms:modified xsi:type="dcterms:W3CDTF">2024-09-24T13:44:56Z</dcterms:modified>
</cp:coreProperties>
</file>